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1340" windowHeight="6285" tabRatio="921" activeTab="0"/>
  </bookViews>
  <sheets>
    <sheet name="Zunanja ureditev -  ZU" sheetId="1" r:id="rId1"/>
    <sheet name="1-Pripravljalna dela ZU" sheetId="2" r:id="rId2"/>
    <sheet name="2-Ureditev okolice ZU" sheetId="3" r:id="rId3"/>
    <sheet name="3-Kamnoseška dela ZU " sheetId="4" r:id="rId4"/>
    <sheet name="4-Zunanja razsvetljava ZU" sheetId="5" r:id="rId5"/>
    <sheet name="5-Razna dela ZU" sheetId="6" r:id="rId6"/>
    <sheet name="6-Nepredvidena dela ZU" sheetId="7" r:id="rId7"/>
    <sheet name="7-Rekapitulacija ZU" sheetId="8" r:id="rId8"/>
    <sheet name="  PO " sheetId="9" r:id="rId9"/>
    <sheet name="Pripravljalna dela PO1" sheetId="10" r:id="rId10"/>
    <sheet name="Zidarska dela PO2" sheetId="11" r:id="rId11"/>
    <sheet name="Tesarska dela PO3" sheetId="12" r:id="rId12"/>
    <sheet name="Ključavničarska dela PO4 " sheetId="13" r:id="rId13"/>
    <sheet name="Okna vrata PO5" sheetId="14" r:id="rId14"/>
    <sheet name="Suhomontažna dela PO6" sheetId="15" r:id="rId15"/>
    <sheet name="Slikoplesk. dela PO7" sheetId="16" r:id="rId16"/>
    <sheet name="Požarna zaščita PO8" sheetId="17" r:id="rId17"/>
    <sheet name="Strojna dela PO9" sheetId="18" r:id="rId18"/>
    <sheet name="Razna dela PO10" sheetId="19" r:id="rId19"/>
    <sheet name="Nepredvidena dela PO" sheetId="20" r:id="rId20"/>
    <sheet name="Rekapitulacija PO" sheetId="21" r:id="rId21"/>
    <sheet name=" Skupna rek ZU +PO" sheetId="22" r:id="rId22"/>
  </sheets>
  <definedNames>
    <definedName name="OLE_LINK5" localSheetId="16">'Požarna zaščita PO8'!#REF!</definedName>
    <definedName name="_xlnm.Print_Area" localSheetId="12">'Ključavničarska dela PO4 '!$A$1:$G$13</definedName>
    <definedName name="_xlnm.Print_Area" localSheetId="19">'Nepredvidena dela PO'!$A$1:$G$5</definedName>
    <definedName name="_xlnm.Print_Area" localSheetId="13">'Okna vrata PO5'!$A$1:$G$14</definedName>
    <definedName name="_xlnm.Print_Area" localSheetId="16">'Požarna zaščita PO8'!$A$1:$G$24</definedName>
    <definedName name="_xlnm.Print_Area" localSheetId="18">'Razna dela PO10'!$A$1:$G$22</definedName>
    <definedName name="_xlnm.Print_Area" localSheetId="20">'Rekapitulacija PO'!$A$3:$G$22</definedName>
    <definedName name="_xlnm.Print_Area" localSheetId="15">'Slikoplesk. dela PO7'!$A$1:$G$45</definedName>
    <definedName name="_xlnm.Print_Area" localSheetId="17">'Strojna dela PO9'!$A$1:$G$40</definedName>
    <definedName name="_xlnm.Print_Area" localSheetId="14">'Suhomontažna dela PO6'!$A$1:$G$14</definedName>
    <definedName name="_xlnm.Print_Area" localSheetId="11">'Tesarska dela PO3'!$A$1:$G$21</definedName>
    <definedName name="_xlnm.Print_Area" localSheetId="10">'Zidarska dela PO2'!$A$1:$G$47</definedName>
  </definedNames>
  <calcPr fullCalcOnLoad="1"/>
</workbook>
</file>

<file path=xl/sharedStrings.xml><?xml version="1.0" encoding="utf-8"?>
<sst xmlns="http://schemas.openxmlformats.org/spreadsheetml/2006/main" count="562" uniqueCount="337">
  <si>
    <t>3.3</t>
  </si>
  <si>
    <t>2.1</t>
  </si>
  <si>
    <t>2.2</t>
  </si>
  <si>
    <t>3.4</t>
  </si>
  <si>
    <t>kom.</t>
  </si>
  <si>
    <t>Ključavničarska dela:</t>
  </si>
  <si>
    <t>Vsi nosilci ograje so kovaške izdelave, mat barve (izvedba in barva kot v pritličju objekta).</t>
  </si>
  <si>
    <r>
      <t>Okna in vrata standardnih mer se obračunavajo posamezno, okna, vrata in ostali izdelki nestandardnih mer pa od m</t>
    </r>
    <r>
      <rPr>
        <sz val="10"/>
        <rFont val="Arial"/>
        <family val="2"/>
      </rPr>
      <t>²</t>
    </r>
    <r>
      <rPr>
        <sz val="10"/>
        <rFont val="Arial CE"/>
        <family val="2"/>
      </rPr>
      <t xml:space="preserve"> izdelka, merjeno po zunanjem (modularnem) obodu okvira; pri vratih se kotno železo obračunava posebej.</t>
    </r>
  </si>
  <si>
    <t>5.1</t>
  </si>
  <si>
    <t>gradbena dela</t>
  </si>
  <si>
    <t>elektro dela</t>
  </si>
  <si>
    <t>strojna dela</t>
  </si>
  <si>
    <t>Skupaj:</t>
  </si>
  <si>
    <r>
      <t>* Tesarska dela zajemajosnemanje potrebnih izmer na mestu samem, postavitev, premeščanje in odstranitev premičnih odrov višine  do 2m</t>
    </r>
    <r>
      <rPr>
        <sz val="10"/>
        <rFont val="Arial"/>
        <family val="2"/>
      </rPr>
      <t>²</t>
    </r>
    <r>
      <rPr>
        <sz val="10"/>
        <rFont val="Arial CE"/>
        <family val="0"/>
      </rPr>
      <t xml:space="preserve"> potrebnih za napravo tesarskih del, zbiranje in sortiranje lesa po dimenzijah.</t>
    </r>
  </si>
  <si>
    <t>-</t>
  </si>
  <si>
    <t>Suhomontažna dela</t>
  </si>
  <si>
    <t>* Zidarska dela vsebujejo še prenos vode za močenje opeke, premeščanje maltark in občasno mešanje malte, dodajanje materiala in orodja, postavitev, premeščanje in odstranitev pomičnih odrov višine do 2m, gašenje apna, prenos in obeleževanje višinskih točk v objektu, čiščenje prostorov, izdelkov in delovnih priprav, zastavljanje zidov, naprava malt s prenosi.</t>
  </si>
  <si>
    <t>Razna dela:</t>
  </si>
  <si>
    <t>VSE SKUPAJ:</t>
  </si>
  <si>
    <t>Nepredvidena dela</t>
  </si>
  <si>
    <t>%</t>
  </si>
  <si>
    <t>m</t>
  </si>
  <si>
    <t>2.</t>
  </si>
  <si>
    <t xml:space="preserve"> </t>
  </si>
  <si>
    <t>Zidarska dela:</t>
  </si>
  <si>
    <t>Tesarska dela:</t>
  </si>
  <si>
    <t>Rekapitulacija:</t>
  </si>
  <si>
    <t>Slikopleskarska dela:</t>
  </si>
  <si>
    <t>Nepredvidena dela:</t>
  </si>
  <si>
    <t>kom</t>
  </si>
  <si>
    <t>Splošna določila:</t>
  </si>
  <si>
    <t>DDV 20%</t>
  </si>
  <si>
    <t>7.</t>
  </si>
  <si>
    <t xml:space="preserve">* Za višino prostorov nad 4 m se postavitev, premeščanje in odstranitev premičnih odrov obračunajo posebej.   </t>
  </si>
  <si>
    <t>* zidanje z opeko se obračunava po dejansko izvršenih količinah po opisu in enoti mere v posameznem standardu, odprtine za okna in vrata se odbijajo po zidarskih merah iz načrta obenem z nadokensko in nadvratno preklado, v primeru, da je odprtina z zobom, se širina odprtine pri odbitku meri med zoboma, pri zmanjšani debelini zidov pri okenskih parapetih se parapet računa kot polni zid v nezmajšani debeline.</t>
  </si>
  <si>
    <t>²</t>
  </si>
  <si>
    <t>3.1</t>
  </si>
  <si>
    <t>3.2</t>
  </si>
  <si>
    <t>Storitev zajema tudi snemanje potrebnih izmer na objektu, dobavo vsega osnovnega in pomožnega materiala, ter okovja, napravo izdelkov in montažo na objektu z dajatvami, podbarvanje izdelkov, zaščita izdelkov, prevoz materiala in izdelkov na objekt z nakladanjem, ekspeditom, razkladanjem, skladiščenjem in notranjim prenosom materiala do mesta vgraditve, čiščenje izdelkov po izvršenem delu in podobno.</t>
  </si>
  <si>
    <t>6.1</t>
  </si>
  <si>
    <t>- dovod zraka: 2 x gips plošče 1,5 cm</t>
  </si>
  <si>
    <t>- odvod zraka: 2 x gips plošče 1,5 cm</t>
  </si>
  <si>
    <t>- dovod zraka: tervol 10 cm</t>
  </si>
  <si>
    <t>- odvod zraka: tervol 10 cm</t>
  </si>
  <si>
    <t>7.1</t>
  </si>
  <si>
    <t>7.2</t>
  </si>
  <si>
    <t>Vrata:</t>
  </si>
  <si>
    <t xml:space="preserve"> -slikopleskarska dela se obračunavajo po m2 dejansko izvršene površine</t>
  </si>
  <si>
    <t xml:space="preserve"> -vsi ometi so enoslojni.</t>
  </si>
  <si>
    <t>Vrata se izdelajo pod nadzorom odgovornega  konzervatora.</t>
  </si>
  <si>
    <t>-  vsa dela se izvajajo po navodilih odgovornega  konzervatora.</t>
  </si>
  <si>
    <t>- Storitev zajema  dobavo in vgradnjo vsega osnovnega in pomožnega materiala.</t>
  </si>
  <si>
    <t>- Pri izbiri svetilk sodeluje odgovorni konzervator.</t>
  </si>
  <si>
    <t>Požarna zaščita:</t>
  </si>
  <si>
    <t>Dobava in vgradnja varnostnih svetilk na podstrešju, v skladu z načrtom elektro instalacij, komplet z vsem delom in dodatnim materialom za vgradnjo..</t>
  </si>
  <si>
    <t>Dobava in vgradnja javljalcev dima na podstrešju, v skladu z načrtom elektro instalacij, komplet z vsem delom in dodatnim materialom za vgradnjo..</t>
  </si>
  <si>
    <t>- S-9</t>
  </si>
  <si>
    <t>- S-6</t>
  </si>
  <si>
    <t>- CO2 – 5</t>
  </si>
  <si>
    <t>Dobava in montaža gasilnih aparatov glede na zasnovo požarne zaščite</t>
  </si>
  <si>
    <t>arhitektura-sodelovanje z odgovornim konzervatorem za objekt Špital</t>
  </si>
  <si>
    <t>10.</t>
  </si>
  <si>
    <t>10.1</t>
  </si>
  <si>
    <t>10.2</t>
  </si>
  <si>
    <t>11.1</t>
  </si>
  <si>
    <t>3.</t>
  </si>
  <si>
    <t>4.</t>
  </si>
  <si>
    <t>5.</t>
  </si>
  <si>
    <t>6.</t>
  </si>
  <si>
    <t>1.1</t>
  </si>
  <si>
    <t xml:space="preserve">-  Vsa dela se izvajajo po navodilih odgovornega  konzervatora. </t>
  </si>
  <si>
    <t>SPLOŠNA DOLOČILA:</t>
  </si>
  <si>
    <t>Pred izvedbo, izvajalec mora vse mere še dodatno preveriti na objektu.</t>
  </si>
  <si>
    <t xml:space="preserve">Vse izdelati v skladu s  soglasjem  odgovornega konzervatorja. </t>
  </si>
  <si>
    <t>Pri izbiri materialov in načinom vgradnje le-teh sodeluje predstavnik Zavoda za varstvo kulturne dediščine Maribor, ki potrdi vse  izbrane vzorce.</t>
  </si>
  <si>
    <t>2.3</t>
  </si>
  <si>
    <t>Priprava podloge za bio apneni omet zidov (čiščenje, kitanje …)</t>
  </si>
  <si>
    <t>Ročna naprava ometov utorov v zidu za instalacije v prvem nadstropju z bio apneno malto. Komplet z vsemi prenosi ter pomožnimi deli. Ocenjeno obračun naknadno po dejanski količini.Vsi ometi so enoplastni fino zaglajeni. Omet se izdeluje s kovinsko gladilko po navodilih konservatorja (enaka izvedba kot pri obnovi celotnega nadstropja).</t>
  </si>
  <si>
    <t xml:space="preserve">Komplet dobava vsega potrebnega materiala in naprava protipožarne zaščite cevi  za dovod in odvod  zraka. Zaščita s tervolom 10 cm ter ognjeodpornimi gips ploščami 2 x d=1,5 cm (kot Knauf debeline 15 mm). </t>
  </si>
  <si>
    <t>2.4</t>
  </si>
  <si>
    <t>2.5</t>
  </si>
  <si>
    <t>7.3</t>
  </si>
  <si>
    <t>Dobava in postavitev evakuacijskega načrta v vsaki etaži.</t>
  </si>
  <si>
    <t>Pred izvedbo, izvajalec mora vse mere  preveriti na objektu.</t>
  </si>
  <si>
    <t>Ventilacija:</t>
  </si>
  <si>
    <t>Vodovod:</t>
  </si>
  <si>
    <t>m1</t>
  </si>
  <si>
    <t>Podometni ventil, komplet s kapo in rozeto</t>
  </si>
  <si>
    <t>Bojler , električni pretočni, podobno kot THERMEX 101; 2 kW</t>
  </si>
  <si>
    <t>Sanitarni elementi</t>
  </si>
  <si>
    <t>Dobava in montaža individulano izdelanega  INOX pomivalnega korita za vgradnjo v obstoječi šank, z odtočnim ventilom in verižico, PVCsifonom, velikosti korita cca 2,4 x 1,2m, komlet vgrajeno in povezano</t>
  </si>
  <si>
    <t>Kanalizacija</t>
  </si>
  <si>
    <t>DN 75</t>
  </si>
  <si>
    <t>Splošno</t>
  </si>
  <si>
    <t>4.1</t>
  </si>
  <si>
    <t>Pripravljalna, zaključna dela zarisovanje, tlačni preizkus in drugo</t>
  </si>
  <si>
    <t>5.2</t>
  </si>
  <si>
    <t>Transpotni stroški, zavarovanje</t>
  </si>
  <si>
    <t>5.3</t>
  </si>
  <si>
    <t>POPIS DEL</t>
  </si>
  <si>
    <t xml:space="preserve">1. </t>
  </si>
  <si>
    <t>Pripravljalna dela:</t>
  </si>
  <si>
    <t>Kamnoseška dela:</t>
  </si>
  <si>
    <t>Pri izbiri ponudnika sodeluje predstavnik Zavoda za varstvo kulturne dediščine Maribor, ki potrdi izbrani vzorec kamna.</t>
  </si>
  <si>
    <t xml:space="preserve">odkapnik na opornem zidu, </t>
  </si>
  <si>
    <t>Zunanja razsvetljava:</t>
  </si>
  <si>
    <t xml:space="preserve">- Vse instalacije zunanje razsvetljave se izvedejo po PZI načrtih elektro instalacij. </t>
  </si>
  <si>
    <t xml:space="preserve">- V popisu materiala in del so le materiali, ki v osnovnem popisu niso zajeti!!! 
V popisu materiala in del NI GRADBENIH DEL (izkopi in zasutja, ureditev kabelske 
blazine, izdelava temeljev za svetilke, ki so že izvedeni). 
</t>
  </si>
  <si>
    <t>4.2</t>
  </si>
  <si>
    <t>4.3</t>
  </si>
  <si>
    <t>4.4</t>
  </si>
  <si>
    <t>4.5</t>
  </si>
  <si>
    <t>Končni geodetski posnetek objekta, vseh podzemnih vodov, objektov in parkirišča (disketo predati projektantu), ter vnos v kataster.</t>
  </si>
  <si>
    <t>5.4</t>
  </si>
  <si>
    <t>Skupna rekapitulacija:</t>
  </si>
  <si>
    <t>m2</t>
  </si>
  <si>
    <t>7.4</t>
  </si>
  <si>
    <t>7.5</t>
  </si>
  <si>
    <t>Čiščenje in pometanje celotnega podstrešja, tlorisna površina, vključno s stopniščem</t>
  </si>
  <si>
    <t>Sanacija ometov na čelnih zidovih. Apneni omet, dletani, v izgledu obstoječega starega ometa.</t>
  </si>
  <si>
    <t>Odstranitev gladkega ometa izvedenega v delu stopnišča za izvedbo in izgled starega ometa - apneni omet, dletan.</t>
  </si>
  <si>
    <t>Izravnava mešanega zida, delno kamen, apneni peščenjak, delno stara opeka. Izravnava kot podlaga za izvedbo lesenih podestov, zid je debeline 60 cm, izravnava se vrši do ca. 20 cm.</t>
  </si>
  <si>
    <t xml:space="preserve">Rušenje dveh dimnikov na podstrešju, zidanih z NF klasično opeko. </t>
  </si>
  <si>
    <t>Izvedba glinenega premaza tlaka debeline pribl. 5 cm za skritje elektroinstalacij na podstrešju v delu, kjer je že sedaj izveden glineni pod, kot zaključek obstoječega glinenega poda, vključno z glineno malto</t>
  </si>
  <si>
    <t>Popravilo ostrešja, kritine, odstranitev obrob, in vsa ostala dela za sanacijo po demontaži dimnika</t>
  </si>
  <si>
    <t>Sanacija starega stopnišča kot dostop na podstrešje, in sicer:</t>
  </si>
  <si>
    <t xml:space="preserve"> - peskanje in čiščenje obstoječega tlaka, vključno s fugiranjem</t>
  </si>
  <si>
    <t xml:space="preserve"> - velikost krila je 0,95 x 2 x 1,6 m</t>
  </si>
  <si>
    <t xml:space="preserve"> - velikost podboja je 1,25 x 5,5 x 1,6  m</t>
  </si>
  <si>
    <t xml:space="preserve"> - tlak</t>
  </si>
  <si>
    <t xml:space="preserve"> - stopnice</t>
  </si>
  <si>
    <t xml:space="preserve"> - jaški, peskolovi</t>
  </si>
  <si>
    <t xml:space="preserve"> - linijski požiralnik</t>
  </si>
  <si>
    <t xml:space="preserve">m </t>
  </si>
  <si>
    <t xml:space="preserve"> - rušenje starih betonskih stopnic</t>
  </si>
  <si>
    <t xml:space="preserve">Rušenje betonskega tlaka pred vhodom v objekt na zahodnem delu, zaradi poglobljene izvedbe in polaganja tlaka </t>
  </si>
  <si>
    <t>Fugirni material se uporabi  kot MAKSIFUGA debeline 4-20 mm,  oz. KERACOLOR PPN</t>
  </si>
  <si>
    <t>Kamen se polaga na obstoječo betonsko podlago , nanos na kamen in podlago v debelini 20 mm - , lepilo kot  Mapestone TM,  z mešanico polimernega dodatka kot Isolastic , razredčen z vodo v razmerju 1:1</t>
  </si>
  <si>
    <t xml:space="preserve"> - peskanje in brušenje obstoječih lesenih nastopnih ploskev, vključno z oljenjem,  olje 2 x in 1 x voskano</t>
  </si>
  <si>
    <t>6.2</t>
  </si>
  <si>
    <t>3.5</t>
  </si>
  <si>
    <t xml:space="preserve">Dobava materiala in izvedba dilatacije kamnitih tlakov, na vseh stikih med različnim tipom tlaka in na stikih med tlakovanimi površinami in objektom ter drugimi opornimi zidovi. </t>
  </si>
  <si>
    <t xml:space="preserve">kom </t>
  </si>
  <si>
    <t xml:space="preserve">Komplet dobava materiala in vgraditev tipskih peskolovov za meteorno strešno vodo, fi 40 cm, PVC jašek in LTŽ pokrov, vključno z vsemi potrebnimi deli in priklopom na meteorne odtočne cevi. </t>
  </si>
  <si>
    <t>POPIS DEL - Investicijsko vzdrževalna dela</t>
  </si>
  <si>
    <t>INVESTICIJSKO VZDRŽEVALNA DELA - ŠPITAL Gornja Radgona</t>
  </si>
  <si>
    <t>Ureditev zemeljske brežine v delu vdora zemljine na obdelovalne površine (prenos zemljine, planiranje in zasaditev trave)</t>
  </si>
  <si>
    <r>
      <t>Kamnoseška dela  (splošna določila):
- Tlaki in obloge se obračunavajo od m</t>
    </r>
    <r>
      <rPr>
        <vertAlign val="superscript"/>
        <sz val="10"/>
        <rFont val="Arial CE"/>
        <family val="2"/>
      </rPr>
      <t>2</t>
    </r>
    <r>
      <rPr>
        <sz val="10"/>
        <rFont val="Arial CE"/>
        <family val="2"/>
      </rPr>
      <t xml:space="preserve"> vidne površine (lica). Odprtine do 0.30m</t>
    </r>
    <r>
      <rPr>
        <vertAlign val="superscript"/>
        <sz val="10"/>
        <rFont val="Arial CE"/>
        <family val="2"/>
      </rPr>
      <t>2</t>
    </r>
    <r>
      <rPr>
        <sz val="10"/>
        <rFont val="Arial CE"/>
        <family val="2"/>
      </rPr>
      <t xml:space="preserve"> se ne odbivajo.                        </t>
    </r>
    <r>
      <rPr>
        <sz val="10"/>
        <rFont val="Arial CE"/>
        <family val="2"/>
      </rPr>
      <t xml:space="preserve">                                                                                                                                  </t>
    </r>
    <r>
      <rPr>
        <sz val="10"/>
        <rFont val="Arial CE"/>
        <family val="2"/>
      </rPr>
      <t xml:space="preserve">.                                                                             </t>
    </r>
  </si>
  <si>
    <t xml:space="preserve">Vsi  vezni materiali so predvideni , atestirani in sicer podobmo kot  MAPEI - enakovredne ali boljše kvalitete, grajeni po navodilih dobavitelja </t>
  </si>
  <si>
    <t>Polaganje kamna na vertikalne površine se vrši z  materiali  kvalitete kot MAPESTONE TM</t>
  </si>
  <si>
    <t>Pri vseh delih upoštevati polaganje kamna po vzorcu, potrebno izrezovanje za svetilke in ostale elemente kot so jaški in požiralniki,.. - izrezovanje zajeti v ceno</t>
  </si>
  <si>
    <t>Dobava in vgradnja  kamna porfido (najboljše kvalitete, zmrzlinsko obstojen, žagan, žgan in krtačen), ki ga položimo  na betonsko površino. Kamen je  različnih dolžin in sicer 30,40,60,80... cm, širine 30 in 40 cm in debeline 6 cm. Oblika kamna naj bo čim bolj pravokotne oziroma kvadratne oblike. Vsi robovi so ravno stičeni  Kvaliteto in barvo porfida potrdi (po priloženem vzorcu izvajalca) odgovorni konzervator Zavoda za varstvo kulturne dediščine iz Maribora. (Način polaganja kamna  - glej ureditveno situacijo).</t>
  </si>
  <si>
    <t>Dilatacije med opornimi zidovi in mačjimi glavami</t>
  </si>
  <si>
    <t>Dilatacije v kamnitem tlaku</t>
  </si>
  <si>
    <t xml:space="preserve"> - asfalt</t>
  </si>
  <si>
    <t xml:space="preserve"> - beton</t>
  </si>
  <si>
    <t>Rušenje obstoječega betonskega tlaka okoli objekta, ob podpornem zidu in okoli vodnjaka, in dostopnih poteh zaradi izvedbe novega tlaka "mačje glave"</t>
  </si>
  <si>
    <t xml:space="preserve"> - izkopi</t>
  </si>
  <si>
    <t xml:space="preserve"> - izkop</t>
  </si>
  <si>
    <t xml:space="preserve"> - gramozni nasip v debelini ca. 30 cm, planiranje in valjanje</t>
  </si>
  <si>
    <t xml:space="preserve"> - betoniranje stopnic z opaženjem - dve nastopni ploskvi, debelina betona je povprečno 20 cm (glej detajl rekonstrukcije stopnic)</t>
  </si>
  <si>
    <t xml:space="preserve"> - polaganje granitnih plošč - tlaka, debeline 6 cm, v delu širših nastopnih ploskev</t>
  </si>
  <si>
    <t xml:space="preserve"> - pokrovi cca 60 / 60 cm</t>
  </si>
  <si>
    <t>Čiščenje celotnega ostrešja, sesanje lesenih delov ter minimalno ščetkanje oz. brušenje pred premazi,  ostrešja</t>
  </si>
  <si>
    <t>Odvoz ruševin, in predaja pooblaščenemu prevzemniku odpadkov</t>
  </si>
  <si>
    <t xml:space="preserve"> - opeka (dimnik)</t>
  </si>
  <si>
    <t xml:space="preserve"> - omet</t>
  </si>
  <si>
    <t>Peskanje obstoječih opornih zidov pred polaganjem kamna na površine. Skupaj kvadratura peskanja</t>
  </si>
  <si>
    <t>Odvoz odvečnega materiala zaradi rušenja</t>
  </si>
  <si>
    <t>klop dim. 0,45/0,40 dolžine ca. 23 m</t>
  </si>
  <si>
    <t>oporni zid povprečne višine ca. 100 cm, dolžine ca. 38+3m</t>
  </si>
  <si>
    <t>pločnik ob cesti</t>
  </si>
  <si>
    <t>pas okrog objekta, ob dostopnih krakih in vodnjaku</t>
  </si>
  <si>
    <t>Dilatacije med kamnom in mačjimi glavami</t>
  </si>
  <si>
    <t>Dilatacije med objektom in mačjimi glavami</t>
  </si>
  <si>
    <t>SKUPAJ:</t>
  </si>
  <si>
    <t>2.6</t>
  </si>
  <si>
    <t xml:space="preserve"> - linijski požiralniki</t>
  </si>
  <si>
    <t xml:space="preserve"> - talne tešetke 30 / 30 cm</t>
  </si>
  <si>
    <t>Izvedba dilatacij v betonu  s sidernimi železi fi 16 mm/ 30 cm, dolžine 120 cm (4 x prečno)</t>
  </si>
  <si>
    <t xml:space="preserve"> - izkop v delu glavnega vhoda - 40 cm</t>
  </si>
  <si>
    <t xml:space="preserve">Izvedba AB plošče v delu glavnega vhoda, debeline 15 cm,  MB 30, 2 x armirana, armatura Q 188 - podlaga za kamen </t>
  </si>
  <si>
    <t>Postavitev - vgradnja demontiranih pokrovov in rešetk na novo višino tlaka</t>
  </si>
  <si>
    <t>3.6</t>
  </si>
  <si>
    <t>1.2</t>
  </si>
  <si>
    <t>1.3</t>
  </si>
  <si>
    <t>1.4</t>
  </si>
  <si>
    <t>1.5</t>
  </si>
  <si>
    <t>1.6</t>
  </si>
  <si>
    <t>1.7</t>
  </si>
  <si>
    <t>1.8</t>
  </si>
  <si>
    <t>1.9</t>
  </si>
  <si>
    <t>1.10</t>
  </si>
  <si>
    <t>1.11</t>
  </si>
  <si>
    <t>1.12</t>
  </si>
  <si>
    <t>1.13</t>
  </si>
  <si>
    <t>Komplet ureditev in humuziranje zelenice v delu izvedbe robnikov, vključno z dobavo materiala in izvedbo zatravitve, v pasu širine ca. 50 cm</t>
  </si>
  <si>
    <t xml:space="preserve"> - izkop v delu, kjer se polagajo mačje glave in betonski robniki</t>
  </si>
  <si>
    <t xml:space="preserve">Komplet dobava materiala in izvedba betonskih robnikov na stiku med zelenico in tlakovanimi površinami, debelina robnika 6 cm, tipski, z ravnim robom, vključno z izvedbo temeljev, fugiranjem in vsemi potrebnimi deli </t>
  </si>
  <si>
    <t>ZUNANJA UREDITEV OBJEKTA - ŠPITAL Gornja Radgona</t>
  </si>
  <si>
    <t xml:space="preserve">Rekapitulacija </t>
  </si>
  <si>
    <t>Ureditev okolice:</t>
  </si>
  <si>
    <t>Pripravljalna in rušitvena dela:</t>
  </si>
  <si>
    <t xml:space="preserve"> - Za oljenje in voskanje se uporabi  material  podobno kot Pallmann Magic Oil 2K in Magic Oil Refresher</t>
  </si>
  <si>
    <t>Dozidava  zida  (levo od stopnišč) do obstoječe višine cca 20 cm.   Dozidava z NF opeko 20 cm, v apneni malti.</t>
  </si>
  <si>
    <t>Dozidava  obstoječega zida višine cca 30 cm nasproti stopnišč) do zgornjega roba poveznika.   Dozidava z  NF opeko 20 cm, v apneni malti.</t>
  </si>
  <si>
    <t xml:space="preserve">Obnova obstoječih zidov okrog stopnišč na podstrešju, višine od 40 do 55 cm (detajla A in B). Dozidava z NF opeko 20 cm, v apneni malti, do skupne višine 95 cm. </t>
  </si>
  <si>
    <t xml:space="preserve"> * Za oljenje se uporabi material podobno kot  Pallmann Magic Oil 2K in 1 x Magic Oil Refresher</t>
  </si>
  <si>
    <t>Kompletna naprava, dobava  in montaža novih nosilcev za ograjo ob stopnicah. Nosilci so iz kovanega  železa fi 4,3 cm. Obdelava kovine  po vzoru na obstoječe v pritličju. Zaščita za kovine mat barva - antik 3 x. V ceno zajeti vsa potrebna dela in material za pritrjevanje nosilcev na steno ter za leseni ročaj ograje Detajl C1, C2</t>
  </si>
  <si>
    <t>Dobava in montaža lesenih ročajev ograje na podestih in pri stopnišču, les hrast, premera  Ø 5 cm. Globinska zaščita lesa in  bezbarvna (olje 2x + 1 x voskanje).  V ceno zajeti vsa potrebna dela.</t>
  </si>
  <si>
    <t>Izvedba zaključnih  polic na opečnih stenah do višine 1,00 m.  Police so iz lesenih plohov, hrast, d=5 cm z zaobljenimi robovi. Širina je cca 32 cm (preves z vsake strani cca 1 cm). V ceno zajeti vsa  dela, zaščitni material, material za pritrjevanje ter druga potrebna dela in material za izvedbo. Zajeti tudi globinsko zaščito lesa in  brezbarvna (olje2x+ 1 x voskanje). Detajl B</t>
  </si>
  <si>
    <t>Izdelava novih lesenih stopnic do podestov , iz hrastovih plohov debeline 18cm x 31cm. Dolžina posameznih stopnic je 1,2m. V ceno zajeti vsa  dela, zaščitni material, material za pritrjevanje ter druga potrebna dela in material za izvedbo opečne podzidave. Zajeti tudi globinsko in brezbarvno zaščito lesa (olje 2x + 1 x voskanje). Komplet po stopnici.</t>
  </si>
  <si>
    <t>Podpiranje plohov lesenega podesta pod povezniki in na mestih, kjer ni poveznikov, višine ca. 30 cm, iz lesenih zmozničenih podpor, oblikovanih po oboku, širine ca. 40 cm, les 2x oljen in 1x voskan, detajl D</t>
  </si>
  <si>
    <t xml:space="preserve"> - premazi za  les   2 x Oljano in 1 x voskano, material podobno kot  Pallmann Magic Oil 2K in  Magic Oil Refresher</t>
  </si>
  <si>
    <t>Dobava in montaža inox kanalov, ki so pritrjeni na lesene dele, za vstavitev obstoječih instalacij v kanale, velikost inox kanala je  cca 10 cm x 15 cm, pritrjen na les.</t>
  </si>
  <si>
    <t>kpl</t>
  </si>
  <si>
    <t>Vse izdelati v skladu s  soglasjem  odgovornega konzervatorja  Zavoda za varstvo kulturne dediščine Maribor</t>
  </si>
  <si>
    <t>Pripravljalna in rušitvena dela</t>
  </si>
  <si>
    <t xml:space="preserve">Zaščita okolice okrog objekta, zavarovanje mimoidočih z oznakami ob objektu ter postavitev gradbiščne ograje in zavarovanje gradbišča.   </t>
  </si>
  <si>
    <t>Rezanje obstoječega betonskega tlaka in asfalta za izvedbo dilatacij in rušenja</t>
  </si>
  <si>
    <t>Čiščenje, pranje in rezkanje obstoječih betonskih površin (vse betonske površine)</t>
  </si>
  <si>
    <t>Rušenje elementov - jaški, peskolovi ter linijski požiralniki v obstoječih tlakih za prilagajanje na novo višino glede na oblogo</t>
  </si>
  <si>
    <t>Zasaditev grmičevja - pušpan</t>
  </si>
  <si>
    <t>2.7</t>
  </si>
  <si>
    <t>2.8</t>
  </si>
  <si>
    <t>2.9</t>
  </si>
  <si>
    <t>2.10</t>
  </si>
  <si>
    <t>2.11</t>
  </si>
  <si>
    <t>2.12</t>
  </si>
  <si>
    <t>Komplet dobava in montaža sedežev za klopi ob objektu. Sedež klopi je lesen, iz letev 5 x 5 cm in 3 x prečna letev,  iz MERBAU lesa rjave barve dim. 0,50 /1,50 m. V ceno je potrebno zajeti vijačenje klopi z vsemi potrebnimi deli. Vijaki rosfraj, s spodnje strani postaviti tesnilno gumo, in oljenje lesa 3 x  z oljem kot Pallmann Magic Oil 2K</t>
  </si>
  <si>
    <t>Izvedba stopnišča na vzhodni strani objekta  v ceno zajeti:</t>
  </si>
  <si>
    <t xml:space="preserve"> - granitni plohi debeline 30cm širine 30 cm in dolžine 1,6 m. </t>
  </si>
  <si>
    <t>Popravilo asfalta obstoječega pločnika  debeline 6 cm , vključno z predhodno izravnavo in nabijanjem podlage</t>
  </si>
  <si>
    <t>Rušenje asfalta pločnika, debeline cca 6 cm, ob  cesti zaradi zvedbe tlaka "mačje glave"</t>
  </si>
  <si>
    <t>Tlak se dilatira na cca 20 m2, dilatacije v podbetonu  in v oblogi se stičijo  s kot MAPEFLEX PU 45, dilatacije in na vse fiksne elemente, vključno s temeljnim premazom  PRIMER FD</t>
  </si>
  <si>
    <t>Dobava materiala in izvedba vertikalne dilatacije (v podaljšku horizontalnih) kamnitih oblog na opornem zidu in klopeh, na vsakih ca. 5m, razvite širine opornega zidu in klopi cca. 1,7m</t>
  </si>
  <si>
    <t>Dobava in montaža , vgradnih, stenskih svetilk  v Alu ohišju, s transformatorjem 230/12 VAC, 18xLED bele, skupne moči 3,6 W, korito, dim. 170x105x70mm, IP54 (podobno kot. LIGHT Acts Brick, Downunder LED). V ceno zajeti vse materiale (kabli, stikala…) in vsa potrebna dela za vgradnjo svetilk.</t>
  </si>
  <si>
    <t xml:space="preserve">Dobava in montaža okroglih, stebrnih svetilk v Alu ohišju, s predstikalno napravo, okovom G24d-3 komp. fluorescentno sijalko TC-D 26W, komplet s pritrdilnimi vijaki, dim. 0130x880mm, rozeta 0170, 1P54, anthrazit, (podobno  kot LightActs  Pol).
</t>
  </si>
  <si>
    <r>
      <t xml:space="preserve">Dobava in montaža pohodnih, vgradnih, okroglih svetilk v Alu ohišju, z rozeto iz Rf, zaščitnim steklom, </t>
    </r>
    <r>
      <rPr>
        <sz val="10"/>
        <rFont val="Times New Roman"/>
        <family val="1"/>
      </rPr>
      <t xml:space="preserve">transformatorjem, ref lektorsko, halogensko sijalko QRB111, 100W, 45, </t>
    </r>
    <r>
      <rPr>
        <sz val="10"/>
        <rFont val="Helvetica, sans-serif"/>
        <family val="0"/>
      </rPr>
      <t xml:space="preserve">koritom, dim. </t>
    </r>
    <r>
      <rPr>
        <sz val="10"/>
        <rFont val="Times New Roman"/>
        <family val="1"/>
      </rPr>
      <t>Ø</t>
    </r>
    <r>
      <rPr>
        <sz val="10"/>
        <rFont val="Helvetica, sans-serif"/>
        <family val="0"/>
      </rPr>
      <t xml:space="preserve"> 265x255mm,  lP67, (podobno kot LightActs, Dasar 260 QRB).  OPOMBA: Lokacijo svetilk natančno določiti z odgovornim projektantom pred vgradnjo le-teh. Svetilke so namenjene za osvetlitev dreves in objekta.</t>
    </r>
  </si>
  <si>
    <t>Dobava in montaža majhne razvodnice, 1P55, ( podobno kot  LightActs).</t>
  </si>
  <si>
    <t>Dobava in montaža velike razvodnice, 1P55, (podobno  kot  LightActs).</t>
  </si>
  <si>
    <t>Zunanja razsvetljava :</t>
  </si>
  <si>
    <t>Izdelava in kompletiranje dokazila o zanesljivosti objekta, vključno z vodilno mapo in vsemi dokazili.  (dokazilo o vodotesnosti kanalizacije, stisljivosti tampona, kvaliteta betona škarpe, zmrzlinske obstojnosti kamna).</t>
  </si>
  <si>
    <t>Pred izvedbo mora  izvajalec vse mere dodatno preveriti na objektu.</t>
  </si>
  <si>
    <t>Vse izdelati v skladu s  soglasjem  odgovornega konzervatorja Zavoda za varstvo kulturne dediščine Maribor</t>
  </si>
  <si>
    <t xml:space="preserve"> - Za oljenje se uporabi material podobno  kot  Pallmann  Magic Oil 2 K</t>
  </si>
  <si>
    <t xml:space="preserve"> 1.1</t>
  </si>
  <si>
    <t xml:space="preserve"> 1.2</t>
  </si>
  <si>
    <t xml:space="preserve"> 1.3</t>
  </si>
  <si>
    <t>Čiščenje - peskanje obstoječega tlakovca na podstrešju, površina tlakovca je 9,40 x 10,70, kot priprava za premaz</t>
  </si>
  <si>
    <t xml:space="preserve"> 1.4</t>
  </si>
  <si>
    <t xml:space="preserve"> 1.5</t>
  </si>
  <si>
    <t xml:space="preserve"> 1.6</t>
  </si>
  <si>
    <t xml:space="preserve"> 2.1</t>
  </si>
  <si>
    <t xml:space="preserve"> 2.2</t>
  </si>
  <si>
    <t xml:space="preserve"> 2.3</t>
  </si>
  <si>
    <t xml:space="preserve"> 2.4</t>
  </si>
  <si>
    <t xml:space="preserve"> 2.5</t>
  </si>
  <si>
    <t xml:space="preserve"> 2.6</t>
  </si>
  <si>
    <t xml:space="preserve"> 2.7</t>
  </si>
  <si>
    <t xml:space="preserve"> 2.8</t>
  </si>
  <si>
    <t xml:space="preserve"> 2.9</t>
  </si>
  <si>
    <t xml:space="preserve"> 2.10</t>
  </si>
  <si>
    <t xml:space="preserve"> 2.11</t>
  </si>
  <si>
    <t xml:space="preserve"> 2.12</t>
  </si>
  <si>
    <t xml:space="preserve"> 2.13</t>
  </si>
  <si>
    <t xml:space="preserve"> 2.14</t>
  </si>
  <si>
    <t xml:space="preserve"> 2.15</t>
  </si>
  <si>
    <t xml:space="preserve"> 2.16</t>
  </si>
  <si>
    <t xml:space="preserve"> - enako le polica širine 11 cm (spodaj, detajl B)</t>
  </si>
  <si>
    <t xml:space="preserve"> 3.4</t>
  </si>
  <si>
    <t>Vse dimenzije preveriti na licu mesta.</t>
  </si>
  <si>
    <t>Kompletna naprava, dobava  in montaža novih kovanih stebričkov za ograjo ob pohodnih površinah - podest.  Stebrički so iz kovanega  železa fi  konus 6-3 cm zgoraj  krožni zaključek, h=95 cm (detajl G3). Obdelava kovine po vzoru  obstoječe v pritličju. Zaščita za kovine mat barva - antik 3 x. V ceno zajeti vsa potrebna dela in material za  izvedbo vključno s pritrjevanjem stebričkov na podest.</t>
  </si>
  <si>
    <t>Komplet dobava in montaža lesenih, ognjeodpornih vrat s podbojem dim. kril 80/196 cm. Ognjeodpornost 30 min. Vrata so enakega materiala ter izgleda kot obstoječa vrata na stopnišču med prvim nadstropjem in podstrešjem. V ceno zajeti vsa kovaška dela, okovje, ključavnica...., ki so enake izdelave kot pri obstoječih vratih. V ceno zajeti tudi vsa druga potrebna dela, zaščita lesa, barvanje lesa.... Les je 2x - oljen in 1x voskan, (material  podobno kot  Pallmann Magic Oil 2K in Magic Oil Refresher )</t>
  </si>
  <si>
    <t>Suhomontažna dela:</t>
  </si>
  <si>
    <t xml:space="preserve"> -odprtine velikosti do 3m2 se ne odbijajo in špalete se ne obračunavajo posebej</t>
  </si>
  <si>
    <t xml:space="preserve"> -odprtine velikosti nad 3m2 se odbijajo in špalete se  obračunavajo posebej</t>
  </si>
  <si>
    <t xml:space="preserve"> - v delu je ostrešje višine nad 4 m - v ceno zajeti delo na lestvi</t>
  </si>
  <si>
    <t>Dvakratno barvanje notranjih površin stopnišča proti podstrešju in podstrešja, z bio apneno barvo vključno z vsemi potrebnimi deli. Odtenek barve bo določil restavrator.</t>
  </si>
  <si>
    <t>Dvakratno barvanje notranjih površin hodnika prvega nadstropja, z bio apneno barvo vključno z vsemi potrebnimi deli. Odtenek barve bo določil restavrator.</t>
  </si>
  <si>
    <t>Oljenje obstoječih lesenih delov ostrešja 2 x  / za obračun merjeno po  m2  strehe (poševnine)  in 1 x horizontalno v višini horizontalnih povezav/ (v ceno zajeti razvito širino posameznih strešnih elementov celotnega ostrešja in  letev - vsi leseni deli pod streho).</t>
  </si>
  <si>
    <t xml:space="preserve"> Razna popravila opleskov, po izvedenih delih in montažah svetilk, ureditvi prezračevanja strojnice,…</t>
  </si>
  <si>
    <t xml:space="preserve"> Razna popravila  -  kitanje poškodb, kot priprava za ponovno popravilo opleskov z belo apneno  barvo</t>
  </si>
  <si>
    <t xml:space="preserve"> 7.6</t>
  </si>
  <si>
    <t xml:space="preserve"> 7.7</t>
  </si>
  <si>
    <t>Oplesk obstoječih oken in okenskih polic, velikost okna je 1,18x1,60, velikost police je 1,20 x 0,30 m ( 2 x oljenje in 1 x voskanje)</t>
  </si>
  <si>
    <t xml:space="preserve"> 7.8</t>
  </si>
  <si>
    <t>Oplesk lesenih profiliranih kasetnih vrat in kril, premaz  z oljem 3x</t>
  </si>
  <si>
    <t xml:space="preserve"> 7.9</t>
  </si>
  <si>
    <t xml:space="preserve"> 7.10</t>
  </si>
  <si>
    <t>Brušenje in oplesk vhodnih vrat, kasetni vzorec, rustikalna izvedba, vključno z opleskom okovja, barva črna antik. Velikost vrat je 2,60 x 1,8 x 1,6 m (premaz z oljem 4x in okovje 2 x).</t>
  </si>
  <si>
    <t>8.</t>
  </si>
  <si>
    <t>8.1</t>
  </si>
  <si>
    <t>8.2</t>
  </si>
  <si>
    <t>8.3</t>
  </si>
  <si>
    <t>8.4</t>
  </si>
  <si>
    <t>8.5</t>
  </si>
  <si>
    <t xml:space="preserve"> - k izvedbi del je potrebno zajeti ustrezno kabliranje, ki mora biti zajeto v ceni svetilke,…</t>
  </si>
  <si>
    <t>Dobava in namestitev trajno svetlečega znaka za izhod v sili. Znaki so v hodniku 1. nadstropja, nameščeni nad stenskimi svetilkami, glede na risbe požarne zaščite.</t>
  </si>
  <si>
    <t>Požarna zaščita::</t>
  </si>
  <si>
    <t>Strojne instalacije:</t>
  </si>
  <si>
    <t xml:space="preserve">Dobava in montaža prezračevalne  cevi za prezračevanje prostora peči za plin- strojnice.  Izvede se 1 x preboj skozi sreho ob kapi in 1 x na najvišji točki strojnice, cca 5 m cevi PP DN 110, vključno z vsemi deli, obrobami  iz bakrene pločevine, zunanjo in notranjo rešetko ter izvedbo prebojev na streho - komplet </t>
  </si>
  <si>
    <t>Večslojne cevi  podobno kot UNIPIPE cevi DvGW, certifikat U 670, komplet s ponikljanimi spojnimi elementi, tesnilnim in podpornim materialom 16/20</t>
  </si>
  <si>
    <t>PP kanalizacijske cevi, komplet z gumijastim tesnilnim materialom in pomožnim montažnim materialom</t>
  </si>
  <si>
    <t xml:space="preserve"> 10.3</t>
  </si>
  <si>
    <t xml:space="preserve"> 10.4</t>
  </si>
  <si>
    <t xml:space="preserve"> 10.5</t>
  </si>
  <si>
    <t>Impregnacija peskanih tlakovanih površin s premazom materiala, za sprijemljivost staro - novo (podobno kot MAPEI)</t>
  </si>
  <si>
    <t>Izvedba poglobitev (ročno - strojni,  70%-30%), v  delu kjer se polagajo mačje glave in v delu glavnega vhoda</t>
  </si>
  <si>
    <t>Izvedba nasutja sekanca debeline 40 cm, planiranje in nabijanja, kot podlaga za izvedbo AB plošče ob glavnem vhodu</t>
  </si>
  <si>
    <t>Izvedba nasutja sekanca debeline 40 cm, planiranje in nabijanje, kot podlaga za tlak mačje glave</t>
  </si>
  <si>
    <t>Izvedba nasutja sekanca debeline 40 cm, planiranje in nabijanje, kot podlaga za izvedbo robnikov</t>
  </si>
  <si>
    <t>Dobava in vgradnja  kamna porfido (najboljše kvalitete), za oblogo klopi (čelna stran in sedeži) in opornega zidu - ločne nepravilne oblike. (glej detajl A in B) Kamen je širine 4 cm, debeline 4 cm in dolžine  cca 40 cm.  Kvaliteto in barvo porfida potrdi (po priloženem vzorcu izvajalca) odgovorni konzervator</t>
  </si>
  <si>
    <t>Dobava in vgradnja  kamna porfido (najboljše kvalitete), za oblogo opornega zidu ob cesti. (glej detajl E) Kamen je širine 4 cm, debeline 4 cm in dolžine  cca 40 cm.  Kvaliteto in barvo porfida potrdi (po priloženem vzorcu izvajalca) odgovorni konzervator. Pri izvedbi upoštevati odpornost na soli zaradi zimskega vzdrževanja ceste.</t>
  </si>
  <si>
    <t>oporni zid višine od 40 do 60 cm, dolžine 47 m</t>
  </si>
  <si>
    <t xml:space="preserve">Dobava in vgradnja  kammnitega tlakovca "mačje glave", ki ga položimo  na utrjeno  gramozno površino. Kamen se polaga  po vzorcu kot je izveden v vinoteki objekta, ki ga potrdi odgovorni konzervator.  (glej detajl A) - v ceno zajeti: pusti beton  C25/50 cca 15 cm, polaganje mačjih glav in zalitje z cementno malto in fugiranjem - komplet . Širina kamnite obloge okrog objekta je 40 cm, ostalo po priloženi ureditveni situaciji. </t>
  </si>
  <si>
    <t xml:space="preserve"> armatura (meržna in RA)</t>
  </si>
  <si>
    <t>kg</t>
  </si>
  <si>
    <t xml:space="preserve"> 4.6</t>
  </si>
  <si>
    <t>Izdelava meritev in poročika</t>
  </si>
  <si>
    <t xml:space="preserve">Projektantski nadzor nad izvedbo del, ter podajanje projektantskih rešitev -  % od vrednosti del pri zunanji ureditvi objekta. </t>
  </si>
  <si>
    <t xml:space="preserve">Izdelava projekta izvedenih del- PID- % od vrednosti del pri zunanji ureditvi objekta </t>
  </si>
  <si>
    <t>Dobava materiala za dozidavo in popravilo obstoječih  NF opečnih sten do višine 1,0 m. V ceno zajeti dobavo in ročni prenos materiala na podstrešje,  komplet z vsemi potrebnimi deli (izravnava nosilnih zidov hodnika)</t>
  </si>
  <si>
    <t>Komplet izvedba opečnega tlaka iz opek starega tipa, širine 15 cm,  debeline 7 cm in dolžine 32 cm. Stari tlak se polaga na podstrešju v pesek, vključno z fugiranjem, navezava na obstoječi tlak v delih, kjer je ta poškodovan in manjka.</t>
  </si>
  <si>
    <t>Demontaža in ponovna montaža obstoječega opečnega tlaka na podstrešju (flešter tlak). Tlak se odstrani zaradi položitve in skritja raznih instalacij, elektrokablov, ipd. odstranitev, popravilo in ponovna položitev v izgledu obstoječega.</t>
  </si>
  <si>
    <t>Izvedba, sanacije vetikalne hidro izolacije po po odstranitvi ometa in  izbedba zaščite  (omet na rabic) vetikalne hidro izolacije "cokla", v višini cca 50 cm,  zajeti sidranje  armaturne mreže , rabic mrežo na armaturno mrežo in zaključni omet  - vse komplet  - detajl C (zunaj na fasadi)</t>
  </si>
  <si>
    <t>Odstranitev poškodovane finalne obloge - fleksibilnega lepila  (ometa) na hidro izolaciji podstavka  višine ca. 50 cm pri tleh (zunaj na fasadi)</t>
  </si>
  <si>
    <t>Fugiranje NF opeke, v delu kjer ostane zid viden (zidovi hodnika podstrešja)</t>
  </si>
  <si>
    <t xml:space="preserve">Izdelava novih lesenih, hrastovih, pohodnih ploščadi - podestov. Pohodne površine so iz lesenih, hrastovih, plohov, oblan les,  d=12 cm. Širina je od 18-25 cm. Dolžina posameznega ploha je cca 4,70 m. Izvedba stikov z lesenimi mozniki. Plohi se pritrjujejo na obstoječe poveznike (zaokroženi - brušeni rob). 
V ceno zajeti dostavo do podstrešja, montažo  podestov ter vsa potrebna dela in material za izvedbo. Zajeti  globinsko zaščito lesa in brezbarvno (olje 2 x+ 1 x voskanje).
</t>
  </si>
  <si>
    <t>Brušenje in premaz vseh obstoječih lesenih talnih oblog - kapucinski pod, premaz 2 x oljenje in 1 x voskanje</t>
  </si>
  <si>
    <t xml:space="preserve">Čiščenje in razmastitev ter premaz obstoječega starega opečnega  tlakovca 3x (steberna dvorana in garderoba v pritličju, hodnik v nadstropju) z ustreznim premazom priznanih proizvajalcev  (podobno kot Fila W68)  </t>
  </si>
  <si>
    <t xml:space="preserve">Sanacija tlaka v hodniku (pritličje), razmastitev tlaka, rahlo brušenje in globinska impregnacija 3x, z ustreznimi materiali za kamen - peščenjak, (podobno kot Fila W68)  </t>
  </si>
  <si>
    <t xml:space="preserve">Projektantski nadzor nad izvedbo del, ter podajanje projektantskih rešitev -  % od vrednosti investicijsko vzdrževalnih  del. </t>
  </si>
  <si>
    <t xml:space="preserve">Izdelava projekta izvedenih del - % od vrednosti investicijsko vzdrževalnih del. </t>
  </si>
  <si>
    <t xml:space="preserve">Pregled statika opaznih poškodb na fasadi, večje poškodbe vogala in dela stene na jugozahodnem delu ter razpoke na severnem delu objekta, izdelava poročila statika </t>
  </si>
  <si>
    <t>Ponovni pregled ostrešja: statika z preverbo kvalitete lesa, ugotovitev globine strohnelega lesa, pregled delov lesa in spojnih elementov nosilnih delov ostrešja, izdelava pisnega poročila o pregledu in ustrezni stabilnosti ostrešja</t>
  </si>
  <si>
    <t>Sanacijska dela na podlagi ugotovitev statika iz postavk 10.3 in 10.4 - obračun po dejanskih stroških</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</si>
</sst>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SIT&quot;"/>
    <numFmt numFmtId="165" formatCode="_-* #,##0.00\ [$€-1]_-;\-* #,##0.00\ [$€-1]_-;_-* &quot;-&quot;??\ [$€-1]_-;_-@_-"/>
    <numFmt numFmtId="166" formatCode="#,##0.0"/>
    <numFmt numFmtId="167" formatCode="0.0"/>
  </numFmts>
  <fonts count="82">
    <font>
      <sz val="11"/>
      <name val="Arial CE"/>
      <family val="2"/>
    </font>
    <font>
      <sz val="11"/>
      <color indexed="8"/>
      <name val="Calibri"/>
      <family val="2"/>
    </font>
    <font>
      <sz val="10"/>
      <name val="Arial CE"/>
      <family val="0"/>
    </font>
    <font>
      <vertAlign val="superscript"/>
      <sz val="10"/>
      <name val="Arial CE"/>
      <family val="2"/>
    </font>
    <font>
      <b/>
      <sz val="12"/>
      <name val="Arial CE"/>
      <family val="2"/>
    </font>
    <font>
      <b/>
      <sz val="10"/>
      <name val="Arial CE"/>
      <family val="2"/>
    </font>
    <font>
      <b/>
      <sz val="14"/>
      <name val="Arial CE"/>
      <family val="2"/>
    </font>
    <font>
      <b/>
      <vertAlign val="superscript"/>
      <sz val="12"/>
      <name val="Arial CE"/>
      <family val="2"/>
    </font>
    <font>
      <sz val="12"/>
      <name val="Arial CE"/>
      <family val="2"/>
    </font>
    <font>
      <b/>
      <i/>
      <sz val="14"/>
      <name val="Arial CE"/>
      <family val="2"/>
    </font>
    <font>
      <sz val="10"/>
      <name val="Arial"/>
      <family val="2"/>
    </font>
    <font>
      <vertAlign val="superscript"/>
      <sz val="12"/>
      <name val="Arial"/>
      <family val="2"/>
    </font>
    <font>
      <b/>
      <i/>
      <u val="single"/>
      <sz val="14"/>
      <name val="Arial CE"/>
      <family val="0"/>
    </font>
    <font>
      <b/>
      <i/>
      <sz val="12"/>
      <name val="Arial CE"/>
      <family val="0"/>
    </font>
    <font>
      <b/>
      <i/>
      <u val="single"/>
      <sz val="12"/>
      <name val="Arial CE"/>
      <family val="0"/>
    </font>
    <font>
      <b/>
      <i/>
      <sz val="10"/>
      <name val="Arial CE"/>
      <family val="0"/>
    </font>
    <font>
      <vertAlign val="superscript"/>
      <sz val="10"/>
      <name val="Arial"/>
      <family val="2"/>
    </font>
    <font>
      <sz val="16"/>
      <name val="Arial CE"/>
      <family val="2"/>
    </font>
    <font>
      <vertAlign val="superscript"/>
      <sz val="14"/>
      <name val="Arial"/>
      <family val="2"/>
    </font>
    <font>
      <sz val="10"/>
      <color indexed="10"/>
      <name val="Arial CE"/>
      <family val="2"/>
    </font>
    <font>
      <b/>
      <u val="single"/>
      <sz val="12"/>
      <name val="Arial CE"/>
      <family val="2"/>
    </font>
    <font>
      <sz val="11"/>
      <name val="Arial"/>
      <family val="2"/>
    </font>
    <font>
      <b/>
      <u val="single"/>
      <sz val="16"/>
      <name val="Arial CE"/>
      <family val="2"/>
    </font>
    <font>
      <b/>
      <sz val="11"/>
      <name val="Arial CE"/>
      <family val="0"/>
    </font>
    <font>
      <sz val="10"/>
      <name val="Times New Roman"/>
      <family val="1"/>
    </font>
    <font>
      <sz val="10"/>
      <name val="Helvetica, sans-serif"/>
      <family val="0"/>
    </font>
    <font>
      <sz val="10"/>
      <color indexed="10"/>
      <name val="Arial"/>
      <family val="2"/>
    </font>
    <font>
      <sz val="14"/>
      <name val="Arial CE"/>
      <family val="2"/>
    </font>
    <font>
      <sz val="11"/>
      <color indexed="10"/>
      <name val="Arial CE"/>
      <family val="2"/>
    </font>
    <font>
      <vertAlign val="superscript"/>
      <sz val="11"/>
      <color indexed="10"/>
      <name val="Arial CE"/>
      <family val="2"/>
    </font>
    <font>
      <vertAlign val="superscript"/>
      <sz val="10"/>
      <color indexed="10"/>
      <name val="Arial"/>
      <family val="2"/>
    </font>
    <font>
      <sz val="10"/>
      <color indexed="57"/>
      <name val="Arial CE"/>
      <family val="2"/>
    </font>
    <font>
      <sz val="11"/>
      <color indexed="57"/>
      <name val="Arial CE"/>
      <family val="2"/>
    </font>
    <font>
      <sz val="10"/>
      <color indexed="8"/>
      <name val="Arial CE"/>
      <family val="2"/>
    </font>
    <font>
      <sz val="10"/>
      <color indexed="8"/>
      <name val="Arial"/>
      <family val="2"/>
    </font>
    <font>
      <vertAlign val="superscript"/>
      <sz val="10"/>
      <color indexed="8"/>
      <name val="Arial"/>
      <family val="2"/>
    </font>
    <font>
      <vertAlign val="superscript"/>
      <sz val="10"/>
      <color indexed="8"/>
      <name val="Arial CE"/>
      <family val="2"/>
    </font>
    <font>
      <vertAlign val="superscript"/>
      <sz val="11"/>
      <name val="Arial CE"/>
      <family val="2"/>
    </font>
    <font>
      <b/>
      <i/>
      <sz val="16"/>
      <name val="Arial CE"/>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1"/>
      <color rgb="FFFF0000"/>
      <name val="Arial CE"/>
      <family val="2"/>
    </font>
    <font>
      <vertAlign val="superscript"/>
      <sz val="11"/>
      <color rgb="FFFF0000"/>
      <name val="Arial CE"/>
      <family val="2"/>
    </font>
    <font>
      <sz val="10"/>
      <color rgb="FFFF0000"/>
      <name val="Arial CE"/>
      <family val="2"/>
    </font>
    <font>
      <vertAlign val="superscript"/>
      <sz val="10"/>
      <color rgb="FFFF0000"/>
      <name val="Arial"/>
      <family val="2"/>
    </font>
    <font>
      <sz val="10"/>
      <color theme="6"/>
      <name val="Arial CE"/>
      <family val="2"/>
    </font>
    <font>
      <sz val="11"/>
      <color theme="6"/>
      <name val="Arial CE"/>
      <family val="2"/>
    </font>
    <font>
      <sz val="10"/>
      <color theme="1"/>
      <name val="Arial CE"/>
      <family val="2"/>
    </font>
    <font>
      <sz val="10"/>
      <color theme="1"/>
      <name val="Arial"/>
      <family val="2"/>
    </font>
    <font>
      <vertAlign val="superscript"/>
      <sz val="10"/>
      <color theme="1"/>
      <name val="Arial"/>
      <family val="2"/>
    </font>
    <font>
      <vertAlign val="superscript"/>
      <sz val="10"/>
      <color theme="1"/>
      <name val="Arial CE"/>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13"/>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top style="thin"/>
      <bottom style="thin"/>
    </border>
    <border>
      <left/>
      <right style="thin"/>
      <top style="thin"/>
      <bottom style="thin"/>
    </border>
    <border>
      <left/>
      <right style="thin"/>
      <top/>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0" applyNumberFormat="0" applyBorder="0" applyAlignment="0" applyProtection="0"/>
    <xf numFmtId="0" fontId="58" fillId="21" borderId="1" applyNumberFormat="0" applyAlignment="0" applyProtection="0"/>
    <xf numFmtId="0" fontId="59" fillId="0" borderId="0" applyNumberFormat="0" applyFill="0" applyBorder="0" applyAlignment="0" applyProtection="0"/>
    <xf numFmtId="0" fontId="60" fillId="0" borderId="2" applyNumberFormat="0" applyFill="0" applyAlignment="0" applyProtection="0"/>
    <xf numFmtId="0" fontId="61" fillId="0" borderId="3" applyNumberFormat="0" applyFill="0" applyAlignment="0" applyProtection="0"/>
    <xf numFmtId="0" fontId="62" fillId="0" borderId="4" applyNumberFormat="0" applyFill="0" applyAlignment="0" applyProtection="0"/>
    <xf numFmtId="0" fontId="62" fillId="0" borderId="0" applyNumberFormat="0" applyFill="0" applyBorder="0" applyAlignment="0" applyProtection="0"/>
    <xf numFmtId="0" fontId="63"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66" fillId="0" borderId="6" applyNumberFormat="0" applyFill="0" applyAlignment="0" applyProtection="0"/>
    <xf numFmtId="0" fontId="67" fillId="30" borderId="7" applyNumberFormat="0" applyAlignment="0" applyProtection="0"/>
    <xf numFmtId="0" fontId="68" fillId="21" borderId="8" applyNumberFormat="0" applyAlignment="0" applyProtection="0"/>
    <xf numFmtId="0" fontId="69"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0" fillId="32" borderId="8" applyNumberFormat="0" applyAlignment="0" applyProtection="0"/>
    <xf numFmtId="0" fontId="71" fillId="0" borderId="9" applyNumberFormat="0" applyFill="0" applyAlignment="0" applyProtection="0"/>
  </cellStyleXfs>
  <cellXfs count="259">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3" fillId="0" borderId="0" xfId="0" applyFont="1" applyAlignment="1">
      <alignment horizontal="left"/>
    </xf>
    <xf numFmtId="4" fontId="2" fillId="0" borderId="0" xfId="0" applyNumberFormat="1" applyFont="1" applyAlignment="1">
      <alignment/>
    </xf>
    <xf numFmtId="164" fontId="2" fillId="0" borderId="0" xfId="0" applyNumberFormat="1" applyFont="1" applyAlignment="1">
      <alignment/>
    </xf>
    <xf numFmtId="4" fontId="2" fillId="0" borderId="0" xfId="0" applyNumberFormat="1" applyFont="1" applyAlignment="1">
      <alignment horizontal="center"/>
    </xf>
    <xf numFmtId="0" fontId="2" fillId="0" borderId="0" xfId="0" applyFont="1" applyAlignment="1">
      <alignment wrapText="1"/>
    </xf>
    <xf numFmtId="0" fontId="2" fillId="0" borderId="0" xfId="0" applyFont="1" applyAlignment="1">
      <alignment horizontal="right"/>
    </xf>
    <xf numFmtId="0" fontId="2" fillId="0" borderId="0" xfId="0" applyFont="1" applyAlignment="1">
      <alignment horizontal="center" vertical="top"/>
    </xf>
    <xf numFmtId="0" fontId="4" fillId="0" borderId="0" xfId="0" applyFont="1" applyAlignment="1">
      <alignment/>
    </xf>
    <xf numFmtId="0" fontId="5" fillId="0" borderId="0" xfId="0" applyFont="1" applyAlignment="1">
      <alignment/>
    </xf>
    <xf numFmtId="164" fontId="5" fillId="0" borderId="0" xfId="0" applyNumberFormat="1" applyFont="1" applyAlignment="1">
      <alignment/>
    </xf>
    <xf numFmtId="0" fontId="6" fillId="0" borderId="0" xfId="0" applyFont="1" applyAlignment="1">
      <alignment wrapText="1"/>
    </xf>
    <xf numFmtId="0" fontId="6" fillId="0" borderId="0" xfId="0" applyFont="1" applyAlignment="1">
      <alignment/>
    </xf>
    <xf numFmtId="0" fontId="4" fillId="0" borderId="0" xfId="0" applyFont="1" applyAlignment="1">
      <alignment horizontal="center" vertical="top"/>
    </xf>
    <xf numFmtId="0" fontId="4" fillId="0" borderId="0" xfId="0" applyFont="1" applyAlignment="1">
      <alignment horizontal="right"/>
    </xf>
    <xf numFmtId="0" fontId="7" fillId="0" borderId="0" xfId="0" applyFont="1" applyAlignment="1">
      <alignment horizontal="left"/>
    </xf>
    <xf numFmtId="4" fontId="4" fillId="0" borderId="0" xfId="0" applyNumberFormat="1" applyFont="1" applyAlignment="1">
      <alignment/>
    </xf>
    <xf numFmtId="0" fontId="2" fillId="0" borderId="0" xfId="0" applyFont="1" applyAlignment="1">
      <alignment horizontal="left" vertical="top" wrapText="1"/>
    </xf>
    <xf numFmtId="164" fontId="6" fillId="0" borderId="0" xfId="0" applyNumberFormat="1" applyFont="1" applyAlignment="1">
      <alignment horizontal="right"/>
    </xf>
    <xf numFmtId="0" fontId="2" fillId="0" borderId="10" xfId="0" applyFont="1" applyBorder="1" applyAlignment="1">
      <alignment wrapText="1"/>
    </xf>
    <xf numFmtId="0" fontId="2" fillId="0" borderId="10" xfId="0" applyFont="1" applyBorder="1" applyAlignment="1">
      <alignment horizontal="right"/>
    </xf>
    <xf numFmtId="0" fontId="3" fillId="0" borderId="10" xfId="0" applyFont="1" applyBorder="1" applyAlignment="1">
      <alignment horizontal="left"/>
    </xf>
    <xf numFmtId="4" fontId="2" fillId="0" borderId="10" xfId="0" applyNumberFormat="1" applyFont="1" applyBorder="1" applyAlignment="1">
      <alignment/>
    </xf>
    <xf numFmtId="164" fontId="2" fillId="0" borderId="10" xfId="0" applyNumberFormat="1" applyFont="1" applyBorder="1" applyAlignment="1">
      <alignment/>
    </xf>
    <xf numFmtId="164" fontId="5" fillId="0" borderId="10" xfId="0" applyNumberFormat="1" applyFont="1" applyBorder="1" applyAlignment="1">
      <alignment/>
    </xf>
    <xf numFmtId="164" fontId="8" fillId="0" borderId="0" xfId="0" applyNumberFormat="1" applyFont="1" applyAlignment="1">
      <alignment/>
    </xf>
    <xf numFmtId="0" fontId="2" fillId="0" borderId="0" xfId="0" applyFont="1" applyBorder="1" applyAlignment="1">
      <alignment horizontal="center" vertical="top"/>
    </xf>
    <xf numFmtId="0" fontId="2" fillId="0" borderId="0" xfId="0" applyFont="1" applyBorder="1" applyAlignment="1">
      <alignment horizontal="right"/>
    </xf>
    <xf numFmtId="0" fontId="3" fillId="0" borderId="0" xfId="0" applyFont="1" applyBorder="1" applyAlignment="1">
      <alignment horizontal="left"/>
    </xf>
    <xf numFmtId="4" fontId="2" fillId="0" borderId="0" xfId="0" applyNumberFormat="1" applyFont="1" applyBorder="1" applyAlignment="1">
      <alignment/>
    </xf>
    <xf numFmtId="164" fontId="8" fillId="0" borderId="10" xfId="0" applyNumberFormat="1" applyFont="1" applyBorder="1" applyAlignment="1">
      <alignment/>
    </xf>
    <xf numFmtId="164" fontId="8" fillId="0" borderId="0" xfId="0" applyNumberFormat="1" applyFont="1" applyBorder="1" applyAlignment="1">
      <alignment/>
    </xf>
    <xf numFmtId="0" fontId="2" fillId="0" borderId="0" xfId="0" applyFont="1" applyAlignment="1">
      <alignment vertical="top" wrapText="1"/>
    </xf>
    <xf numFmtId="0" fontId="2" fillId="0" borderId="0" xfId="0" applyFont="1" applyAlignment="1">
      <alignment vertical="center" wrapText="1"/>
    </xf>
    <xf numFmtId="0" fontId="10" fillId="0" borderId="0" xfId="0" applyFont="1" applyAlignment="1">
      <alignment/>
    </xf>
    <xf numFmtId="0" fontId="11" fillId="0" borderId="0" xfId="0" applyFont="1" applyAlignment="1">
      <alignment horizontal="left"/>
    </xf>
    <xf numFmtId="0" fontId="13" fillId="0" borderId="0" xfId="0" applyFont="1" applyAlignment="1">
      <alignment/>
    </xf>
    <xf numFmtId="0" fontId="14" fillId="0" borderId="0" xfId="0" applyFont="1" applyAlignment="1">
      <alignment/>
    </xf>
    <xf numFmtId="0" fontId="5" fillId="0" borderId="0" xfId="0" applyFont="1" applyAlignment="1">
      <alignment horizontal="center" vertical="top"/>
    </xf>
    <xf numFmtId="1" fontId="5" fillId="0" borderId="0" xfId="0" applyNumberFormat="1" applyFont="1" applyAlignment="1" applyProtection="1">
      <alignment horizontal="center" vertical="top" wrapText="1"/>
      <protection locked="0"/>
    </xf>
    <xf numFmtId="0" fontId="4" fillId="0" borderId="11" xfId="0" applyFont="1" applyBorder="1" applyAlignment="1">
      <alignment horizontal="right"/>
    </xf>
    <xf numFmtId="0" fontId="7" fillId="0" borderId="11" xfId="0" applyFont="1" applyBorder="1" applyAlignment="1">
      <alignment horizontal="left"/>
    </xf>
    <xf numFmtId="4" fontId="4" fillId="0" borderId="11" xfId="0" applyNumberFormat="1" applyFont="1" applyBorder="1" applyAlignment="1">
      <alignment/>
    </xf>
    <xf numFmtId="0" fontId="4" fillId="0" borderId="11" xfId="0" applyFont="1" applyBorder="1" applyAlignment="1">
      <alignment/>
    </xf>
    <xf numFmtId="0" fontId="4" fillId="0" borderId="12" xfId="0" applyFont="1" applyBorder="1" applyAlignment="1">
      <alignment wrapText="1"/>
    </xf>
    <xf numFmtId="164" fontId="4" fillId="0" borderId="13" xfId="0" applyNumberFormat="1" applyFont="1" applyBorder="1" applyAlignment="1">
      <alignment horizontal="right"/>
    </xf>
    <xf numFmtId="164" fontId="6" fillId="0" borderId="13" xfId="0" applyNumberFormat="1" applyFont="1" applyBorder="1" applyAlignment="1">
      <alignment/>
    </xf>
    <xf numFmtId="1" fontId="2" fillId="0" borderId="0" xfId="0" applyNumberFormat="1" applyFont="1" applyAlignment="1" applyProtection="1">
      <alignment vertical="top" wrapText="1"/>
      <protection locked="0"/>
    </xf>
    <xf numFmtId="0" fontId="2" fillId="0" borderId="0" xfId="0" applyFont="1" applyAlignment="1">
      <alignment/>
    </xf>
    <xf numFmtId="164" fontId="6" fillId="0" borderId="13" xfId="0" applyNumberFormat="1" applyFont="1" applyBorder="1" applyAlignment="1">
      <alignment horizontal="right"/>
    </xf>
    <xf numFmtId="0" fontId="4" fillId="0" borderId="14" xfId="0" applyFont="1" applyBorder="1" applyAlignment="1">
      <alignment horizontal="center" vertical="top"/>
    </xf>
    <xf numFmtId="0" fontId="4" fillId="0" borderId="0" xfId="0" applyFont="1" applyAlignment="1">
      <alignment/>
    </xf>
    <xf numFmtId="0" fontId="4" fillId="0" borderId="11" xfId="0" applyFont="1" applyBorder="1" applyAlignment="1">
      <alignment/>
    </xf>
    <xf numFmtId="0" fontId="7" fillId="0" borderId="11" xfId="0" applyFont="1" applyBorder="1" applyAlignment="1">
      <alignment/>
    </xf>
    <xf numFmtId="4" fontId="4" fillId="0" borderId="11" xfId="0" applyNumberFormat="1" applyFont="1" applyBorder="1" applyAlignment="1">
      <alignment/>
    </xf>
    <xf numFmtId="0" fontId="10" fillId="0" borderId="0" xfId="0" applyFont="1" applyAlignment="1">
      <alignment/>
    </xf>
    <xf numFmtId="2" fontId="2" fillId="0" borderId="0" xfId="0" applyNumberFormat="1" applyFont="1" applyAlignment="1">
      <alignment horizontal="left" vertical="top"/>
    </xf>
    <xf numFmtId="0" fontId="2" fillId="0" borderId="0" xfId="0" applyFont="1" applyAlignment="1">
      <alignment vertical="top" wrapText="1"/>
    </xf>
    <xf numFmtId="2" fontId="2" fillId="0" borderId="0" xfId="0" applyNumberFormat="1" applyFont="1" applyAlignment="1" applyProtection="1">
      <alignment horizontal="right" wrapText="1"/>
      <protection locked="0"/>
    </xf>
    <xf numFmtId="0" fontId="15" fillId="0" borderId="0" xfId="0" applyFont="1" applyAlignment="1">
      <alignment/>
    </xf>
    <xf numFmtId="0" fontId="4" fillId="0" borderId="0" xfId="0" applyFont="1" applyAlignment="1">
      <alignment wrapText="1"/>
    </xf>
    <xf numFmtId="2" fontId="2" fillId="0" borderId="0" xfId="0" applyNumberFormat="1" applyFont="1" applyAlignment="1">
      <alignment horizontal="left" vertical="top" wrapText="1"/>
    </xf>
    <xf numFmtId="0" fontId="4" fillId="0" borderId="12" xfId="0" applyFont="1" applyBorder="1" applyAlignment="1">
      <alignment vertical="top" wrapText="1"/>
    </xf>
    <xf numFmtId="4" fontId="8" fillId="0" borderId="0" xfId="0" applyNumberFormat="1" applyFont="1" applyAlignment="1">
      <alignment/>
    </xf>
    <xf numFmtId="0" fontId="6" fillId="0" borderId="0" xfId="0" applyFont="1" applyBorder="1" applyAlignment="1">
      <alignment wrapText="1"/>
    </xf>
    <xf numFmtId="0" fontId="2" fillId="0" borderId="0" xfId="0" applyFont="1" applyBorder="1" applyAlignment="1">
      <alignment/>
    </xf>
    <xf numFmtId="0" fontId="12" fillId="0" borderId="0" xfId="0" applyFont="1" applyAlignment="1">
      <alignment/>
    </xf>
    <xf numFmtId="0" fontId="14" fillId="0" borderId="0" xfId="0" applyFont="1" applyAlignment="1">
      <alignment horizontal="center"/>
    </xf>
    <xf numFmtId="0" fontId="2" fillId="0" borderId="0" xfId="0" applyNumberFormat="1" applyFont="1" applyAlignment="1">
      <alignment horizontal="justify" vertical="top" shrinkToFit="1"/>
    </xf>
    <xf numFmtId="0" fontId="2" fillId="0" borderId="0" xfId="0" applyFont="1" applyAlignment="1">
      <alignment horizontal="right" wrapText="1"/>
    </xf>
    <xf numFmtId="0" fontId="17" fillId="0" borderId="0" xfId="0" applyFont="1" applyAlignment="1">
      <alignment horizontal="center" vertical="top"/>
    </xf>
    <xf numFmtId="0" fontId="17" fillId="0" borderId="0" xfId="0" applyFont="1" applyAlignment="1">
      <alignment vertical="top" wrapText="1"/>
    </xf>
    <xf numFmtId="0" fontId="17" fillId="0" borderId="0" xfId="0" applyFont="1" applyAlignment="1">
      <alignment horizontal="right"/>
    </xf>
    <xf numFmtId="4" fontId="17" fillId="0" borderId="0" xfId="0" applyNumberFormat="1" applyFont="1" applyAlignment="1">
      <alignment/>
    </xf>
    <xf numFmtId="164" fontId="17" fillId="0" borderId="0" xfId="0" applyNumberFormat="1" applyFont="1" applyAlignment="1">
      <alignment/>
    </xf>
    <xf numFmtId="0" fontId="17" fillId="0" borderId="0" xfId="0" applyFont="1" applyAlignment="1">
      <alignment vertical="center" wrapText="1"/>
    </xf>
    <xf numFmtId="0" fontId="17" fillId="0" borderId="0" xfId="0" applyFont="1" applyAlignment="1">
      <alignment/>
    </xf>
    <xf numFmtId="0" fontId="17" fillId="0" borderId="0" xfId="0" applyFont="1" applyAlignment="1">
      <alignment vertical="top" wrapText="1"/>
    </xf>
    <xf numFmtId="0" fontId="17" fillId="0" borderId="10" xfId="0" applyFont="1" applyBorder="1" applyAlignment="1">
      <alignment/>
    </xf>
    <xf numFmtId="0" fontId="17" fillId="0" borderId="10" xfId="0" applyFont="1" applyBorder="1" applyAlignment="1">
      <alignment wrapText="1"/>
    </xf>
    <xf numFmtId="0" fontId="18" fillId="0" borderId="0" xfId="0" applyFont="1" applyAlignment="1">
      <alignment horizontal="left"/>
    </xf>
    <xf numFmtId="2" fontId="2" fillId="0" borderId="0" xfId="0" applyNumberFormat="1" applyFont="1" applyAlignment="1">
      <alignment wrapText="1"/>
    </xf>
    <xf numFmtId="164" fontId="8" fillId="33" borderId="13" xfId="0" applyNumberFormat="1" applyFont="1" applyFill="1" applyBorder="1" applyAlignment="1">
      <alignment/>
    </xf>
    <xf numFmtId="0" fontId="6" fillId="33" borderId="12" xfId="0" applyFont="1" applyFill="1" applyBorder="1" applyAlignment="1">
      <alignment wrapText="1"/>
    </xf>
    <xf numFmtId="0" fontId="2" fillId="33" borderId="11" xfId="0" applyFont="1" applyFill="1" applyBorder="1" applyAlignment="1">
      <alignment horizontal="right"/>
    </xf>
    <xf numFmtId="0" fontId="2" fillId="33" borderId="11" xfId="0" applyFont="1" applyFill="1" applyBorder="1" applyAlignment="1">
      <alignment/>
    </xf>
    <xf numFmtId="4" fontId="2" fillId="33" borderId="11" xfId="0" applyNumberFormat="1" applyFont="1" applyFill="1" applyBorder="1" applyAlignment="1">
      <alignment/>
    </xf>
    <xf numFmtId="0" fontId="3" fillId="33" borderId="11" xfId="0" applyFont="1" applyFill="1" applyBorder="1" applyAlignment="1">
      <alignment horizontal="left"/>
    </xf>
    <xf numFmtId="2" fontId="2" fillId="0" borderId="0" xfId="0" applyNumberFormat="1" applyFont="1" applyAlignment="1">
      <alignment horizontal="right"/>
    </xf>
    <xf numFmtId="49" fontId="2" fillId="0" borderId="0" xfId="0" applyNumberFormat="1" applyFont="1" applyAlignment="1">
      <alignment horizontal="left" vertical="top" wrapText="1"/>
    </xf>
    <xf numFmtId="0" fontId="16" fillId="0" borderId="0" xfId="0" applyFont="1" applyAlignment="1">
      <alignment/>
    </xf>
    <xf numFmtId="0" fontId="4" fillId="0" borderId="15" xfId="0" applyFont="1" applyBorder="1" applyAlignment="1">
      <alignment horizontal="center" vertical="top"/>
    </xf>
    <xf numFmtId="49" fontId="2" fillId="0" borderId="0" xfId="0" applyNumberFormat="1" applyFont="1" applyAlignment="1">
      <alignment horizontal="center" vertical="top"/>
    </xf>
    <xf numFmtId="49" fontId="17" fillId="0" borderId="0" xfId="0" applyNumberFormat="1" applyFont="1" applyAlignment="1">
      <alignment horizontal="center" vertical="top"/>
    </xf>
    <xf numFmtId="0" fontId="10" fillId="0" borderId="0" xfId="0" applyFont="1" applyAlignment="1">
      <alignment vertical="top" wrapText="1"/>
    </xf>
    <xf numFmtId="0" fontId="0" fillId="0" borderId="0" xfId="0" applyAlignment="1">
      <alignment horizontal="left" vertical="top" wrapText="1"/>
    </xf>
    <xf numFmtId="49" fontId="2" fillId="0" borderId="0" xfId="0" applyNumberFormat="1" applyFont="1" applyAlignment="1">
      <alignment vertical="top" wrapText="1"/>
    </xf>
    <xf numFmtId="0" fontId="19" fillId="0" borderId="0" xfId="0" applyFont="1" applyAlignment="1">
      <alignment horizontal="right"/>
    </xf>
    <xf numFmtId="49" fontId="10" fillId="0" borderId="0" xfId="0" applyNumberFormat="1" applyFont="1" applyAlignment="1">
      <alignment vertical="top" wrapText="1"/>
    </xf>
    <xf numFmtId="0" fontId="6" fillId="0" borderId="0" xfId="0" applyFont="1" applyAlignment="1">
      <alignment horizontal="center" vertical="top"/>
    </xf>
    <xf numFmtId="0" fontId="0" fillId="0" borderId="0" xfId="0" applyAlignment="1">
      <alignment vertical="top" wrapText="1"/>
    </xf>
    <xf numFmtId="0" fontId="20" fillId="0" borderId="0" xfId="0" applyFont="1" applyAlignment="1">
      <alignment horizontal="left"/>
    </xf>
    <xf numFmtId="0" fontId="21" fillId="0" borderId="0" xfId="0" applyFont="1" applyAlignment="1">
      <alignment horizontal="justify" vertical="top" wrapText="1"/>
    </xf>
    <xf numFmtId="0" fontId="0" fillId="0" borderId="0" xfId="0" applyAlignment="1">
      <alignment vertical="top" wrapText="1"/>
    </xf>
    <xf numFmtId="0" fontId="2" fillId="0" borderId="0" xfId="0" applyFont="1" applyAlignment="1">
      <alignment horizontal="left"/>
    </xf>
    <xf numFmtId="9" fontId="2" fillId="0" borderId="0" xfId="0" applyNumberFormat="1" applyFont="1" applyAlignment="1">
      <alignment vertical="top" wrapText="1"/>
    </xf>
    <xf numFmtId="10" fontId="2" fillId="0" borderId="0" xfId="0" applyNumberFormat="1" applyFont="1" applyAlignment="1">
      <alignment/>
    </xf>
    <xf numFmtId="0" fontId="17" fillId="0" borderId="0" xfId="0" applyNumberFormat="1" applyFont="1" applyAlignment="1">
      <alignment/>
    </xf>
    <xf numFmtId="0" fontId="22" fillId="0" borderId="0" xfId="0" applyFont="1" applyAlignment="1">
      <alignment horizontal="center"/>
    </xf>
    <xf numFmtId="0" fontId="23" fillId="0" borderId="0" xfId="0" applyFont="1" applyAlignment="1">
      <alignment horizontal="center" vertical="top"/>
    </xf>
    <xf numFmtId="0" fontId="10" fillId="0" borderId="0" xfId="0" applyFont="1" applyAlignment="1">
      <alignment horizontal="justify" vertical="top" wrapText="1"/>
    </xf>
    <xf numFmtId="0" fontId="2" fillId="0" borderId="0" xfId="0" applyFont="1" applyBorder="1" applyAlignment="1">
      <alignment horizontal="right" wrapText="1"/>
    </xf>
    <xf numFmtId="0" fontId="10" fillId="0" borderId="0" xfId="0" applyFont="1" applyAlignment="1">
      <alignment horizontal="right"/>
    </xf>
    <xf numFmtId="164" fontId="2" fillId="0" borderId="0" xfId="0" applyNumberFormat="1" applyFont="1" applyBorder="1" applyAlignment="1">
      <alignment/>
    </xf>
    <xf numFmtId="0" fontId="4" fillId="0" borderId="12" xfId="0" applyFont="1" applyBorder="1" applyAlignment="1">
      <alignment horizontal="center" vertical="top"/>
    </xf>
    <xf numFmtId="0" fontId="2" fillId="0" borderId="0" xfId="0" applyFont="1" applyAlignment="1">
      <alignment horizontal="left" vertical="top"/>
    </xf>
    <xf numFmtId="0" fontId="8" fillId="0" borderId="0" xfId="0" applyFont="1" applyAlignment="1">
      <alignment vertical="center"/>
    </xf>
    <xf numFmtId="0" fontId="2" fillId="0" borderId="0" xfId="0" applyFont="1" applyAlignment="1">
      <alignment horizontal="right" vertical="top" wrapText="1"/>
    </xf>
    <xf numFmtId="0" fontId="10" fillId="0" borderId="0" xfId="0" applyFont="1" applyAlignment="1">
      <alignment vertical="top" wrapText="1"/>
    </xf>
    <xf numFmtId="0" fontId="2" fillId="0" borderId="0" xfId="0" applyFont="1" applyAlignment="1">
      <alignment horizontal="right" vertical="center"/>
    </xf>
    <xf numFmtId="49" fontId="2" fillId="0" borderId="0" xfId="0" applyNumberFormat="1" applyFont="1" applyAlignment="1">
      <alignment vertical="center" wrapText="1"/>
    </xf>
    <xf numFmtId="0" fontId="2" fillId="0" borderId="12" xfId="0" applyFont="1" applyBorder="1" applyAlignment="1">
      <alignment horizontal="center" vertical="top"/>
    </xf>
    <xf numFmtId="0" fontId="2" fillId="0" borderId="11" xfId="0" applyFont="1" applyBorder="1" applyAlignment="1">
      <alignment horizontal="right"/>
    </xf>
    <xf numFmtId="0" fontId="10" fillId="0" borderId="11" xfId="0" applyFont="1" applyBorder="1" applyAlignment="1">
      <alignment/>
    </xf>
    <xf numFmtId="4" fontId="2" fillId="0" borderId="11" xfId="0" applyNumberFormat="1" applyFont="1" applyBorder="1" applyAlignment="1">
      <alignment/>
    </xf>
    <xf numFmtId="164" fontId="2" fillId="0" borderId="13" xfId="0" applyNumberFormat="1" applyFont="1" applyBorder="1" applyAlignment="1">
      <alignment/>
    </xf>
    <xf numFmtId="49" fontId="19" fillId="0" borderId="0" xfId="0" applyNumberFormat="1" applyFont="1" applyAlignment="1">
      <alignment horizontal="center" vertical="top"/>
    </xf>
    <xf numFmtId="0" fontId="19" fillId="0" borderId="0" xfId="0" applyFont="1" applyAlignment="1">
      <alignment vertical="center" wrapText="1"/>
    </xf>
    <xf numFmtId="0" fontId="26" fillId="0" borderId="0" xfId="0" applyFont="1" applyAlignment="1">
      <alignment/>
    </xf>
    <xf numFmtId="4" fontId="19" fillId="0" borderId="0" xfId="0" applyNumberFormat="1" applyFont="1" applyAlignment="1">
      <alignment/>
    </xf>
    <xf numFmtId="0" fontId="4" fillId="0" borderId="0" xfId="0" applyFont="1" applyBorder="1" applyAlignment="1">
      <alignment/>
    </xf>
    <xf numFmtId="164" fontId="6" fillId="0" borderId="0" xfId="0" applyNumberFormat="1" applyFont="1" applyBorder="1" applyAlignment="1">
      <alignment horizontal="right"/>
    </xf>
    <xf numFmtId="49" fontId="6" fillId="0" borderId="0" xfId="0" applyNumberFormat="1" applyFont="1" applyAlignment="1">
      <alignment horizontal="center" vertical="top"/>
    </xf>
    <xf numFmtId="49" fontId="6" fillId="0" borderId="0" xfId="0" applyNumberFormat="1" applyFont="1" applyBorder="1" applyAlignment="1">
      <alignment horizontal="center" vertical="top"/>
    </xf>
    <xf numFmtId="0" fontId="6" fillId="0" borderId="0" xfId="0" applyFont="1" applyBorder="1" applyAlignment="1">
      <alignment/>
    </xf>
    <xf numFmtId="49" fontId="2" fillId="0" borderId="0" xfId="0" applyNumberFormat="1" applyFont="1" applyBorder="1" applyAlignment="1">
      <alignment horizontal="center" vertical="top"/>
    </xf>
    <xf numFmtId="0" fontId="6" fillId="0" borderId="12" xfId="0" applyFont="1" applyBorder="1" applyAlignment="1">
      <alignment wrapText="1"/>
    </xf>
    <xf numFmtId="0" fontId="3" fillId="0" borderId="11" xfId="0" applyFont="1" applyBorder="1" applyAlignment="1">
      <alignment horizontal="left"/>
    </xf>
    <xf numFmtId="164" fontId="8" fillId="0" borderId="13" xfId="0" applyNumberFormat="1" applyFont="1" applyBorder="1" applyAlignment="1">
      <alignment/>
    </xf>
    <xf numFmtId="165" fontId="2" fillId="0" borderId="0" xfId="0" applyNumberFormat="1" applyFont="1" applyAlignment="1">
      <alignment/>
    </xf>
    <xf numFmtId="165" fontId="8" fillId="33" borderId="13" xfId="0" applyNumberFormat="1" applyFont="1" applyFill="1" applyBorder="1" applyAlignment="1">
      <alignment/>
    </xf>
    <xf numFmtId="165" fontId="8" fillId="0" borderId="0" xfId="0" applyNumberFormat="1" applyFont="1" applyBorder="1" applyAlignment="1">
      <alignment/>
    </xf>
    <xf numFmtId="165" fontId="8" fillId="0" borderId="10" xfId="0" applyNumberFormat="1" applyFont="1" applyBorder="1" applyAlignment="1">
      <alignment/>
    </xf>
    <xf numFmtId="165" fontId="8" fillId="0" borderId="0" xfId="0" applyNumberFormat="1" applyFont="1" applyAlignment="1">
      <alignment/>
    </xf>
    <xf numFmtId="165" fontId="9" fillId="33" borderId="13" xfId="0" applyNumberFormat="1" applyFont="1" applyFill="1" applyBorder="1" applyAlignment="1">
      <alignment/>
    </xf>
    <xf numFmtId="165" fontId="9" fillId="0" borderId="0" xfId="0" applyNumberFormat="1" applyFont="1" applyBorder="1" applyAlignment="1">
      <alignment/>
    </xf>
    <xf numFmtId="0" fontId="27" fillId="0" borderId="0" xfId="0" applyFont="1" applyAlignment="1">
      <alignment/>
    </xf>
    <xf numFmtId="0" fontId="9" fillId="0" borderId="0" xfId="0" applyFont="1" applyAlignment="1">
      <alignment/>
    </xf>
    <xf numFmtId="0" fontId="27" fillId="33" borderId="12" xfId="0" applyFont="1" applyFill="1" applyBorder="1" applyAlignment="1">
      <alignment wrapText="1"/>
    </xf>
    <xf numFmtId="0" fontId="2" fillId="0" borderId="0" xfId="0" applyFont="1" applyBorder="1" applyAlignment="1">
      <alignment horizontal="left" vertical="top" wrapText="1"/>
    </xf>
    <xf numFmtId="0" fontId="72" fillId="0" borderId="0" xfId="0" applyFont="1" applyAlignment="1">
      <alignment/>
    </xf>
    <xf numFmtId="0" fontId="72" fillId="0" borderId="0" xfId="0" applyFont="1" applyAlignment="1">
      <alignment horizontal="right"/>
    </xf>
    <xf numFmtId="0" fontId="73" fillId="0" borderId="0" xfId="0" applyFont="1" applyAlignment="1">
      <alignment horizontal="left"/>
    </xf>
    <xf numFmtId="0" fontId="74" fillId="0" borderId="0" xfId="0" applyFont="1" applyAlignment="1">
      <alignment horizontal="right"/>
    </xf>
    <xf numFmtId="4" fontId="74" fillId="0" borderId="0" xfId="0" applyNumberFormat="1" applyFont="1" applyAlignment="1">
      <alignment/>
    </xf>
    <xf numFmtId="0" fontId="75" fillId="0" borderId="0" xfId="0" applyFont="1" applyAlignment="1">
      <alignment/>
    </xf>
    <xf numFmtId="0" fontId="2" fillId="0" borderId="0" xfId="0" applyFont="1" applyAlignment="1">
      <alignment horizontal="left" vertical="top" wrapText="1"/>
    </xf>
    <xf numFmtId="0" fontId="2" fillId="0" borderId="0" xfId="0" applyFont="1" applyAlignment="1">
      <alignment horizontal="left" vertical="top"/>
    </xf>
    <xf numFmtId="3" fontId="72" fillId="0" borderId="0" xfId="0" applyNumberFormat="1" applyFont="1" applyBorder="1" applyAlignment="1">
      <alignment/>
    </xf>
    <xf numFmtId="0" fontId="22" fillId="0" borderId="0" xfId="0" applyFont="1" applyAlignment="1">
      <alignment horizontal="left"/>
    </xf>
    <xf numFmtId="4" fontId="76" fillId="0" borderId="0" xfId="0" applyNumberFormat="1" applyFont="1" applyAlignment="1">
      <alignment/>
    </xf>
    <xf numFmtId="0" fontId="77" fillId="0" borderId="0" xfId="0" applyFont="1" applyBorder="1" applyAlignment="1">
      <alignment horizontal="left" vertical="top" wrapText="1"/>
    </xf>
    <xf numFmtId="3" fontId="77" fillId="0" borderId="0" xfId="0" applyNumberFormat="1" applyFont="1" applyBorder="1" applyAlignment="1">
      <alignment/>
    </xf>
    <xf numFmtId="166" fontId="2" fillId="0" borderId="0" xfId="0" applyNumberFormat="1" applyFont="1" applyBorder="1" applyAlignment="1">
      <alignment/>
    </xf>
    <xf numFmtId="3" fontId="2" fillId="0" borderId="0" xfId="0" applyNumberFormat="1" applyFont="1" applyBorder="1" applyAlignment="1">
      <alignment/>
    </xf>
    <xf numFmtId="166" fontId="2" fillId="0" borderId="0" xfId="0" applyNumberFormat="1" applyFont="1" applyAlignment="1">
      <alignment/>
    </xf>
    <xf numFmtId="3" fontId="2" fillId="0" borderId="0" xfId="0" applyNumberFormat="1" applyFont="1" applyAlignment="1">
      <alignment/>
    </xf>
    <xf numFmtId="3" fontId="78" fillId="0" borderId="0" xfId="0" applyNumberFormat="1" applyFont="1" applyAlignment="1">
      <alignment/>
    </xf>
    <xf numFmtId="0" fontId="78" fillId="0" borderId="0" xfId="0" applyFont="1" applyAlignment="1">
      <alignment horizontal="right" vertical="center"/>
    </xf>
    <xf numFmtId="0" fontId="78" fillId="0" borderId="0" xfId="0" applyFont="1" applyAlignment="1">
      <alignment horizontal="right"/>
    </xf>
    <xf numFmtId="0" fontId="79" fillId="0" borderId="0" xfId="0" applyFont="1" applyAlignment="1">
      <alignment/>
    </xf>
    <xf numFmtId="0" fontId="80" fillId="0" borderId="0" xfId="0" applyFont="1" applyAlignment="1">
      <alignment/>
    </xf>
    <xf numFmtId="0" fontId="78" fillId="0" borderId="0" xfId="0" applyFont="1" applyAlignment="1">
      <alignment horizontal="left" vertical="top" wrapText="1"/>
    </xf>
    <xf numFmtId="0" fontId="78" fillId="0" borderId="0" xfId="0" applyFont="1" applyAlignment="1">
      <alignment/>
    </xf>
    <xf numFmtId="49" fontId="78" fillId="0" borderId="0" xfId="0" applyNumberFormat="1" applyFont="1" applyAlignment="1">
      <alignment vertical="center" wrapText="1"/>
    </xf>
    <xf numFmtId="4" fontId="78" fillId="0" borderId="0" xfId="0" applyNumberFormat="1" applyFont="1" applyAlignment="1">
      <alignment/>
    </xf>
    <xf numFmtId="166" fontId="78" fillId="0" borderId="0" xfId="0" applyNumberFormat="1" applyFont="1" applyAlignment="1">
      <alignment/>
    </xf>
    <xf numFmtId="0" fontId="2" fillId="0" borderId="0" xfId="0" applyNumberFormat="1" applyFont="1" applyAlignment="1">
      <alignment horizontal="center" vertical="top"/>
    </xf>
    <xf numFmtId="0" fontId="23" fillId="0" borderId="0" xfId="0" applyNumberFormat="1" applyFont="1" applyAlignment="1">
      <alignment horizontal="center" vertical="top"/>
    </xf>
    <xf numFmtId="0" fontId="2" fillId="0" borderId="0" xfId="0" applyNumberFormat="1" applyFont="1" applyBorder="1" applyAlignment="1">
      <alignment horizontal="center" vertical="top"/>
    </xf>
    <xf numFmtId="0" fontId="4" fillId="0" borderId="12" xfId="0" applyNumberFormat="1" applyFont="1" applyBorder="1" applyAlignment="1">
      <alignment horizontal="center" vertical="top"/>
    </xf>
    <xf numFmtId="1" fontId="78" fillId="0" borderId="0" xfId="0" applyNumberFormat="1" applyFont="1" applyAlignment="1">
      <alignment/>
    </xf>
    <xf numFmtId="1" fontId="2" fillId="0" borderId="0" xfId="0" applyNumberFormat="1" applyFont="1" applyAlignment="1">
      <alignment/>
    </xf>
    <xf numFmtId="0" fontId="78" fillId="0" borderId="0" xfId="0" applyFont="1" applyAlignment="1">
      <alignment wrapText="1"/>
    </xf>
    <xf numFmtId="0" fontId="78" fillId="0" borderId="0" xfId="0" applyFont="1" applyBorder="1" applyAlignment="1">
      <alignment horizontal="left" vertical="top" wrapText="1"/>
    </xf>
    <xf numFmtId="0" fontId="81" fillId="0" borderId="0" xfId="0" applyFont="1" applyAlignment="1">
      <alignment horizontal="left"/>
    </xf>
    <xf numFmtId="3" fontId="78" fillId="0" borderId="0" xfId="0" applyNumberFormat="1" applyFont="1" applyBorder="1" applyAlignment="1">
      <alignment/>
    </xf>
    <xf numFmtId="0" fontId="74" fillId="0" borderId="0" xfId="0" applyFont="1" applyAlignment="1">
      <alignment wrapText="1"/>
    </xf>
    <xf numFmtId="49" fontId="74" fillId="0" borderId="0" xfId="0" applyNumberFormat="1" applyFont="1" applyAlignment="1">
      <alignment vertical="center" wrapText="1"/>
    </xf>
    <xf numFmtId="0" fontId="78" fillId="0" borderId="0" xfId="0" applyFont="1" applyAlignment="1">
      <alignment vertical="center" wrapText="1"/>
    </xf>
    <xf numFmtId="0" fontId="6" fillId="0" borderId="11" xfId="0" applyFont="1" applyBorder="1" applyAlignment="1">
      <alignment wrapText="1"/>
    </xf>
    <xf numFmtId="0" fontId="78" fillId="0" borderId="0" xfId="0" applyFont="1" applyAlignment="1">
      <alignment vertical="top" wrapText="1"/>
    </xf>
    <xf numFmtId="0" fontId="6" fillId="0" borderId="0" xfId="0" applyFont="1" applyAlignment="1">
      <alignment horizontal="right"/>
    </xf>
    <xf numFmtId="0" fontId="0" fillId="0" borderId="0" xfId="0" applyFont="1" applyAlignment="1">
      <alignment horizontal="right"/>
    </xf>
    <xf numFmtId="0" fontId="37" fillId="0" borderId="0" xfId="0" applyFont="1" applyAlignment="1">
      <alignment horizontal="left"/>
    </xf>
    <xf numFmtId="0" fontId="0" fillId="0" borderId="0" xfId="0" applyFont="1" applyAlignment="1">
      <alignment/>
    </xf>
    <xf numFmtId="0" fontId="0" fillId="0" borderId="0" xfId="0" applyFont="1" applyAlignment="1">
      <alignment wrapText="1"/>
    </xf>
    <xf numFmtId="167" fontId="0" fillId="0" borderId="0" xfId="0" applyNumberFormat="1" applyFont="1" applyAlignment="1">
      <alignment/>
    </xf>
    <xf numFmtId="2" fontId="0" fillId="0" borderId="0" xfId="0" applyNumberFormat="1" applyFont="1" applyAlignment="1">
      <alignment/>
    </xf>
    <xf numFmtId="167" fontId="0" fillId="0" borderId="0" xfId="0" applyNumberFormat="1" applyAlignment="1">
      <alignment/>
    </xf>
    <xf numFmtId="0" fontId="0" fillId="0" borderId="0" xfId="0" applyAlignment="1">
      <alignment horizontal="right"/>
    </xf>
    <xf numFmtId="0" fontId="0" fillId="0" borderId="0" xfId="0" applyAlignment="1">
      <alignment vertical="top" wrapText="1"/>
    </xf>
    <xf numFmtId="0" fontId="6" fillId="0" borderId="11" xfId="0" applyFont="1" applyBorder="1" applyAlignment="1">
      <alignment wrapText="1"/>
    </xf>
    <xf numFmtId="49" fontId="2" fillId="0" borderId="0" xfId="0" applyNumberFormat="1" applyFont="1" applyAlignment="1">
      <alignment vertical="top" wrapText="1"/>
    </xf>
    <xf numFmtId="0" fontId="2" fillId="0" borderId="0" xfId="0" applyFont="1" applyAlignment="1">
      <alignment vertical="top" wrapText="1"/>
    </xf>
    <xf numFmtId="0" fontId="0" fillId="0" borderId="0" xfId="0" applyFont="1" applyAlignment="1">
      <alignment vertical="top" wrapText="1"/>
    </xf>
    <xf numFmtId="0" fontId="2" fillId="0" borderId="0" xfId="0" applyFont="1" applyAlignment="1">
      <alignment horizontal="center" vertical="top"/>
    </xf>
    <xf numFmtId="0" fontId="2" fillId="0" borderId="0" xfId="0" applyFont="1" applyAlignment="1">
      <alignment horizontal="left" vertical="top" wrapText="1"/>
    </xf>
    <xf numFmtId="16" fontId="2" fillId="0" borderId="0" xfId="0" applyNumberFormat="1" applyFont="1" applyBorder="1" applyAlignment="1">
      <alignment horizontal="center" vertical="top"/>
    </xf>
    <xf numFmtId="0" fontId="0" fillId="0" borderId="0" xfId="0" applyFont="1" applyAlignment="1">
      <alignment horizontal="left" vertical="top" wrapText="1"/>
    </xf>
    <xf numFmtId="0" fontId="0" fillId="0" borderId="0" xfId="0" applyAlignment="1">
      <alignment wrapText="1"/>
    </xf>
    <xf numFmtId="0" fontId="5" fillId="0" borderId="0" xfId="0" applyFont="1" applyAlignment="1">
      <alignment horizontal="center" vertical="top"/>
    </xf>
    <xf numFmtId="0" fontId="2" fillId="0" borderId="0" xfId="0" applyFont="1" applyAlignment="1">
      <alignment horizontal="right"/>
    </xf>
    <xf numFmtId="4" fontId="2" fillId="0" borderId="0" xfId="0" applyNumberFormat="1" applyFont="1" applyAlignment="1">
      <alignment/>
    </xf>
    <xf numFmtId="164" fontId="2" fillId="0" borderId="0" xfId="0" applyNumberFormat="1" applyFont="1" applyAlignment="1">
      <alignment/>
    </xf>
    <xf numFmtId="49" fontId="2" fillId="0" borderId="0" xfId="0" applyNumberFormat="1" applyFont="1" applyAlignment="1">
      <alignment horizontal="center" vertical="top"/>
    </xf>
    <xf numFmtId="0" fontId="3" fillId="0" borderId="0" xfId="0" applyFont="1" applyAlignment="1">
      <alignment horizontal="left"/>
    </xf>
    <xf numFmtId="4" fontId="2" fillId="0" borderId="0" xfId="0" applyNumberFormat="1" applyFont="1" applyAlignment="1">
      <alignment horizontal="center"/>
    </xf>
    <xf numFmtId="164" fontId="2" fillId="0" borderId="0" xfId="0" applyNumberFormat="1" applyFont="1" applyAlignment="1">
      <alignment horizontal="center"/>
    </xf>
    <xf numFmtId="0" fontId="2" fillId="0" borderId="0" xfId="0" applyFont="1" applyAlignment="1">
      <alignment horizontal="center"/>
    </xf>
    <xf numFmtId="49" fontId="17" fillId="0" borderId="0" xfId="0" applyNumberFormat="1" applyFont="1" applyAlignment="1">
      <alignment horizontal="center" vertical="top"/>
    </xf>
    <xf numFmtId="0" fontId="0" fillId="0" borderId="0" xfId="0" applyFont="1" applyAlignment="1">
      <alignment wrapText="1"/>
    </xf>
    <xf numFmtId="0" fontId="0" fillId="0" borderId="0" xfId="0" applyFont="1" applyAlignment="1">
      <alignment horizontal="right"/>
    </xf>
    <xf numFmtId="0" fontId="37" fillId="0" borderId="0" xfId="0" applyFont="1" applyAlignment="1">
      <alignment horizontal="left"/>
    </xf>
    <xf numFmtId="0" fontId="0" fillId="0" borderId="0" xfId="0" applyFont="1" applyAlignment="1">
      <alignment/>
    </xf>
    <xf numFmtId="0" fontId="4" fillId="0" borderId="14" xfId="0" applyFont="1" applyBorder="1" applyAlignment="1">
      <alignment horizontal="center" vertical="top"/>
    </xf>
    <xf numFmtId="0" fontId="4" fillId="0" borderId="12" xfId="0" applyFont="1" applyBorder="1" applyAlignment="1">
      <alignment wrapText="1"/>
    </xf>
    <xf numFmtId="0" fontId="4" fillId="0" borderId="11" xfId="0" applyFont="1" applyBorder="1" applyAlignment="1">
      <alignment horizontal="right"/>
    </xf>
    <xf numFmtId="0" fontId="7" fillId="0" borderId="11" xfId="0" applyFont="1" applyBorder="1" applyAlignment="1">
      <alignment horizontal="left"/>
    </xf>
    <xf numFmtId="4" fontId="4" fillId="0" borderId="11" xfId="0" applyNumberFormat="1" applyFont="1" applyBorder="1" applyAlignment="1">
      <alignment/>
    </xf>
    <xf numFmtId="0" fontId="4" fillId="0" borderId="11" xfId="0" applyFont="1" applyBorder="1" applyAlignment="1">
      <alignment/>
    </xf>
    <xf numFmtId="164" fontId="6" fillId="0" borderId="13" xfId="0" applyNumberFormat="1" applyFont="1" applyBorder="1" applyAlignment="1">
      <alignment horizontal="right"/>
    </xf>
    <xf numFmtId="0" fontId="0" fillId="0" borderId="0" xfId="0" applyFont="1" applyAlignment="1">
      <alignment vertical="top" wrapText="1"/>
    </xf>
    <xf numFmtId="0" fontId="9" fillId="0" borderId="0" xfId="0" applyFont="1" applyAlignment="1">
      <alignment horizontal="right"/>
    </xf>
    <xf numFmtId="0" fontId="38" fillId="0" borderId="0" xfId="0" applyFont="1" applyAlignment="1">
      <alignment horizontal="right"/>
    </xf>
    <xf numFmtId="0" fontId="0" fillId="0" borderId="0" xfId="0" applyAlignment="1">
      <alignment vertical="top" wrapText="1"/>
    </xf>
    <xf numFmtId="165" fontId="2" fillId="0" borderId="10" xfId="0" applyNumberFormat="1" applyFont="1" applyBorder="1" applyAlignment="1">
      <alignment/>
    </xf>
    <xf numFmtId="165" fontId="6" fillId="0" borderId="13" xfId="0" applyNumberFormat="1" applyFont="1" applyBorder="1" applyAlignment="1">
      <alignment horizontal="right"/>
    </xf>
    <xf numFmtId="165" fontId="5" fillId="0" borderId="0" xfId="0" applyNumberFormat="1" applyFont="1" applyAlignment="1">
      <alignment/>
    </xf>
    <xf numFmtId="165" fontId="4" fillId="0" borderId="11" xfId="0" applyNumberFormat="1" applyFont="1" applyBorder="1" applyAlignment="1">
      <alignment/>
    </xf>
    <xf numFmtId="0" fontId="21" fillId="0" borderId="0" xfId="0" applyFont="1" applyAlignment="1">
      <alignment horizontal="justify" vertical="top" wrapText="1"/>
    </xf>
    <xf numFmtId="0" fontId="21" fillId="0" borderId="0" xfId="0" applyFont="1" applyAlignment="1">
      <alignment horizontal="left" vertical="top" wrapText="1"/>
    </xf>
    <xf numFmtId="0" fontId="0" fillId="0" borderId="0" xfId="0" applyAlignment="1">
      <alignment vertical="top" wrapText="1"/>
    </xf>
    <xf numFmtId="0" fontId="6" fillId="0" borderId="11" xfId="0" applyFont="1" applyBorder="1" applyAlignment="1">
      <alignment wrapText="1"/>
    </xf>
    <xf numFmtId="0" fontId="0" fillId="0" borderId="11" xfId="0" applyBorder="1" applyAlignment="1">
      <alignment/>
    </xf>
    <xf numFmtId="0" fontId="10"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horizontal="left" vertical="top"/>
    </xf>
    <xf numFmtId="49" fontId="2" fillId="0" borderId="0" xfId="0" applyNumberFormat="1" applyFont="1" applyAlignment="1">
      <alignment vertical="top" wrapText="1"/>
    </xf>
    <xf numFmtId="49" fontId="0" fillId="0" borderId="0" xfId="0" applyNumberFormat="1" applyAlignment="1">
      <alignment vertical="top" wrapText="1"/>
    </xf>
    <xf numFmtId="0" fontId="2" fillId="0" borderId="0" xfId="0" applyFont="1" applyAlignment="1">
      <alignment vertical="top" wrapText="1"/>
    </xf>
    <xf numFmtId="0" fontId="21" fillId="0" borderId="0" xfId="0" applyFont="1" applyAlignment="1">
      <alignment vertical="top" wrapText="1"/>
    </xf>
    <xf numFmtId="0" fontId="0" fillId="0" borderId="0" xfId="0" applyFont="1" applyAlignment="1">
      <alignment vertical="top" wrapText="1"/>
    </xf>
    <xf numFmtId="0" fontId="0" fillId="0" borderId="11" xfId="0" applyFont="1" applyBorder="1" applyAlignment="1">
      <alignment/>
    </xf>
    <xf numFmtId="0" fontId="2" fillId="0" borderId="0" xfId="0" applyFont="1" applyAlignment="1">
      <alignment horizontal="center" vertical="top"/>
    </xf>
    <xf numFmtId="0" fontId="2" fillId="0" borderId="0" xfId="0" applyFont="1" applyAlignment="1">
      <alignment horizontal="left" vertical="top" wrapText="1"/>
    </xf>
    <xf numFmtId="0" fontId="2" fillId="0" borderId="0" xfId="0" applyFont="1" applyAlignment="1">
      <alignment horizontal="justify" vertical="top" wrapText="1"/>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B4"/>
  <sheetViews>
    <sheetView tabSelected="1" zoomScalePageLayoutView="0" workbookViewId="0" topLeftCell="A1">
      <selection activeCell="B7" sqref="B7"/>
    </sheetView>
  </sheetViews>
  <sheetFormatPr defaultColWidth="9" defaultRowHeight="14.25"/>
  <cols>
    <col min="1" max="1" width="4.5" style="9" customWidth="1"/>
    <col min="2" max="2" width="35.09765625" style="1" customWidth="1"/>
    <col min="3" max="3" width="5.19921875" style="8" customWidth="1"/>
    <col min="4" max="4" width="2.5" style="1" customWidth="1"/>
    <col min="5" max="5" width="8.3984375" style="4" customWidth="1"/>
    <col min="6" max="6" width="8.59765625" style="4" customWidth="1"/>
    <col min="7" max="7" width="16.19921875" style="5" customWidth="1"/>
    <col min="8" max="16384" width="9" style="1" customWidth="1"/>
  </cols>
  <sheetData>
    <row r="2" ht="20.25">
      <c r="B2" s="110" t="s">
        <v>99</v>
      </c>
    </row>
    <row r="4" ht="12.75">
      <c r="B4" s="1" t="s">
        <v>199</v>
      </c>
    </row>
  </sheetData>
  <sheetProtection/>
  <printOptions/>
  <pageMargins left="1.0236220472440944" right="0.1968503937007874" top="0.984251968503937" bottom="0.984251968503937" header="0.3937007874015748" footer="0.1968503937007874"/>
  <pageSetup horizontalDpi="600" verticalDpi="600" orientation="portrait" paperSize="9" r:id="rId1"/>
  <headerFooter alignWithMargins="0">
    <oddHeader>&amp;L&amp;D
&amp;F&amp;CPROJEKT-INVEST d.o.o.&amp;R&amp;A</oddHeader>
    <oddFooter>&amp;R&amp;P</oddFooter>
  </headerFooter>
</worksheet>
</file>

<file path=xl/worksheets/sheet10.xml><?xml version="1.0" encoding="utf-8"?>
<worksheet xmlns="http://schemas.openxmlformats.org/spreadsheetml/2006/main" xmlns:r="http://schemas.openxmlformats.org/officeDocument/2006/relationships">
  <dimension ref="A2:G33"/>
  <sheetViews>
    <sheetView zoomScalePageLayoutView="0" workbookViewId="0" topLeftCell="A11">
      <selection activeCell="B17" sqref="B17"/>
    </sheetView>
  </sheetViews>
  <sheetFormatPr defaultColWidth="9" defaultRowHeight="14.25"/>
  <cols>
    <col min="1" max="1" width="4.5" style="9" customWidth="1"/>
    <col min="2" max="2" width="35.09765625" style="1" customWidth="1"/>
    <col min="3" max="3" width="5.19921875" style="8" customWidth="1"/>
    <col min="4" max="4" width="2.5" style="1" customWidth="1"/>
    <col min="5" max="5" width="8.3984375" style="4" customWidth="1"/>
    <col min="6" max="6" width="8.59765625" style="4" customWidth="1"/>
    <col min="7" max="7" width="16.19921875" style="5" customWidth="1"/>
    <col min="8" max="16384" width="9" style="1" customWidth="1"/>
  </cols>
  <sheetData>
    <row r="2" ht="20.25">
      <c r="B2" s="110" t="s">
        <v>99</v>
      </c>
    </row>
    <row r="3" ht="20.25">
      <c r="B3" s="110"/>
    </row>
    <row r="4" ht="15.75">
      <c r="B4" s="103" t="s">
        <v>71</v>
      </c>
    </row>
    <row r="5" spans="2:6" ht="22.5" customHeight="1">
      <c r="B5" s="242" t="s">
        <v>243</v>
      </c>
      <c r="C5" s="242"/>
      <c r="D5" s="242"/>
      <c r="E5" s="242"/>
      <c r="F5" s="242"/>
    </row>
    <row r="6" spans="2:6" ht="36.75" customHeight="1">
      <c r="B6" s="242" t="s">
        <v>244</v>
      </c>
      <c r="C6" s="253"/>
      <c r="D6" s="253"/>
      <c r="E6" s="253"/>
      <c r="F6" s="254"/>
    </row>
    <row r="7" spans="2:6" ht="51" customHeight="1">
      <c r="B7" s="242" t="s">
        <v>74</v>
      </c>
      <c r="C7" s="254"/>
      <c r="D7" s="254"/>
      <c r="E7" s="254"/>
      <c r="F7" s="254"/>
    </row>
    <row r="8" spans="2:3" ht="20.25" customHeight="1">
      <c r="B8" t="s">
        <v>245</v>
      </c>
      <c r="C8" s="4"/>
    </row>
    <row r="9" spans="2:3" ht="20.25" customHeight="1">
      <c r="B9"/>
      <c r="C9" s="4"/>
    </row>
    <row r="10" ht="12.75">
      <c r="C10" s="4"/>
    </row>
    <row r="11" spans="1:2" ht="18">
      <c r="A11" s="111" t="s">
        <v>100</v>
      </c>
      <c r="B11" s="14" t="s">
        <v>101</v>
      </c>
    </row>
    <row r="12" ht="18">
      <c r="B12" s="14"/>
    </row>
    <row r="13" ht="15.75">
      <c r="B13" s="10"/>
    </row>
    <row r="14" spans="1:7" ht="42.75">
      <c r="A14" s="210" t="s">
        <v>246</v>
      </c>
      <c r="B14" s="237" t="s">
        <v>118</v>
      </c>
      <c r="C14" s="195" t="s">
        <v>21</v>
      </c>
      <c r="D14" s="196">
        <v>2</v>
      </c>
      <c r="E14" s="201">
        <f>302*1.05</f>
        <v>317.1</v>
      </c>
      <c r="G14" s="115"/>
    </row>
    <row r="15" spans="1:7" ht="16.5">
      <c r="A15" s="94"/>
      <c r="B15" s="198"/>
      <c r="C15" s="195"/>
      <c r="D15" s="196"/>
      <c r="E15" s="197"/>
      <c r="G15" s="115"/>
    </row>
    <row r="16" spans="1:7" ht="16.5">
      <c r="A16" s="28"/>
      <c r="B16" s="198"/>
      <c r="C16" s="195"/>
      <c r="D16" s="196"/>
      <c r="E16" s="197"/>
      <c r="G16" s="115"/>
    </row>
    <row r="17" spans="1:7" ht="55.5" customHeight="1">
      <c r="A17" s="28" t="s">
        <v>247</v>
      </c>
      <c r="B17" s="207" t="s">
        <v>163</v>
      </c>
      <c r="C17" s="202" t="s">
        <v>21</v>
      </c>
      <c r="D17" s="196">
        <v>2</v>
      </c>
      <c r="E17" s="199">
        <f>23.5*(25+8.5+13.5)*1.05</f>
        <v>1159.7250000000001</v>
      </c>
      <c r="G17" s="115"/>
    </row>
    <row r="18" spans="1:7" ht="16.5">
      <c r="A18" s="94"/>
      <c r="B18" s="198"/>
      <c r="C18" s="195"/>
      <c r="D18" s="196"/>
      <c r="E18" s="197"/>
      <c r="G18" s="115"/>
    </row>
    <row r="19" spans="1:7" ht="16.5">
      <c r="A19" s="28"/>
      <c r="B19" s="198"/>
      <c r="C19" s="195"/>
      <c r="D19" s="196"/>
      <c r="E19" s="197"/>
      <c r="G19" s="115"/>
    </row>
    <row r="20" spans="1:7" ht="49.5" customHeight="1">
      <c r="A20" s="210" t="s">
        <v>248</v>
      </c>
      <c r="B20" s="203" t="s">
        <v>249</v>
      </c>
      <c r="C20" s="195" t="s">
        <v>21</v>
      </c>
      <c r="D20" s="196">
        <v>2</v>
      </c>
      <c r="E20" s="199">
        <f>9.4*10.7*1.05</f>
        <v>105.60900000000001</v>
      </c>
      <c r="G20" s="115"/>
    </row>
    <row r="21" spans="1:7" ht="16.5">
      <c r="A21" s="94"/>
      <c r="B21" s="198"/>
      <c r="C21" s="195"/>
      <c r="D21" s="196"/>
      <c r="E21" s="197"/>
      <c r="F21" s="31"/>
      <c r="G21" s="115"/>
    </row>
    <row r="22" spans="1:7" ht="14.25">
      <c r="A22" s="28"/>
      <c r="B22" s="151"/>
      <c r="C22" s="114"/>
      <c r="D22" s="30"/>
      <c r="E22" s="31"/>
      <c r="F22" s="31"/>
      <c r="G22" s="115"/>
    </row>
    <row r="23" spans="1:7" ht="28.5">
      <c r="A23" s="28" t="s">
        <v>250</v>
      </c>
      <c r="B23" s="198" t="s">
        <v>122</v>
      </c>
      <c r="C23" s="195" t="s">
        <v>21</v>
      </c>
      <c r="D23" s="196">
        <v>3</v>
      </c>
      <c r="E23" s="200">
        <f>(0.6*0.6*6.5+1.2*1*7)*1.05</f>
        <v>11.277000000000001</v>
      </c>
      <c r="G23" s="115"/>
    </row>
    <row r="24" spans="1:7" ht="16.5">
      <c r="A24" s="94"/>
      <c r="B24" s="198"/>
      <c r="C24" s="195"/>
      <c r="D24" s="196"/>
      <c r="E24" s="197"/>
      <c r="F24" s="1"/>
      <c r="G24" s="115"/>
    </row>
    <row r="25" spans="1:7" ht="16.5">
      <c r="A25" s="28"/>
      <c r="B25" s="198"/>
      <c r="C25" s="195"/>
      <c r="D25" s="196"/>
      <c r="E25" s="197"/>
      <c r="F25" s="1"/>
      <c r="G25" s="115"/>
    </row>
    <row r="26" spans="1:7" ht="42.75">
      <c r="A26" s="28" t="s">
        <v>251</v>
      </c>
      <c r="B26" s="198" t="s">
        <v>120</v>
      </c>
      <c r="C26" s="195" t="s">
        <v>21</v>
      </c>
      <c r="D26" s="196">
        <v>2</v>
      </c>
      <c r="E26">
        <f>68*1.05</f>
        <v>71.4</v>
      </c>
      <c r="G26" s="115"/>
    </row>
    <row r="27" spans="1:7" ht="16.5">
      <c r="A27" s="94"/>
      <c r="B27" s="198"/>
      <c r="C27" s="195"/>
      <c r="D27" s="196"/>
      <c r="E27" s="197"/>
      <c r="F27" s="1"/>
      <c r="G27" s="115"/>
    </row>
    <row r="28" spans="1:7" ht="16.5">
      <c r="A28" s="94"/>
      <c r="B28" s="198"/>
      <c r="C28" s="195"/>
      <c r="D28" s="196"/>
      <c r="E28" s="197"/>
      <c r="F28" s="1"/>
      <c r="G28" s="115"/>
    </row>
    <row r="29" spans="1:7" ht="28.5">
      <c r="A29" s="28" t="s">
        <v>252</v>
      </c>
      <c r="B29" s="198" t="s">
        <v>164</v>
      </c>
      <c r="C29" s="195"/>
      <c r="D29" s="196"/>
      <c r="E29" s="197"/>
      <c r="F29" s="1"/>
      <c r="G29" s="115"/>
    </row>
    <row r="30" spans="1:7" ht="16.5">
      <c r="A30" s="28"/>
      <c r="B30" s="198" t="s">
        <v>165</v>
      </c>
      <c r="C30" s="195" t="s">
        <v>21</v>
      </c>
      <c r="D30" s="196">
        <v>3</v>
      </c>
      <c r="E30" s="200">
        <f>+E23</f>
        <v>11.277000000000001</v>
      </c>
      <c r="F30" s="1"/>
      <c r="G30" s="115"/>
    </row>
    <row r="31" spans="1:7" ht="16.5">
      <c r="A31" s="94"/>
      <c r="B31" s="198" t="s">
        <v>166</v>
      </c>
      <c r="C31" s="195" t="s">
        <v>21</v>
      </c>
      <c r="D31" s="196">
        <v>3</v>
      </c>
      <c r="E31" s="200">
        <f>E26*0.02*1.05+0.5</f>
        <v>1.9994000000000003</v>
      </c>
      <c r="F31" s="1"/>
      <c r="G31" s="115"/>
    </row>
    <row r="32" spans="1:7" ht="16.5">
      <c r="A32" s="28"/>
      <c r="B32" s="198"/>
      <c r="C32" s="195"/>
      <c r="D32" s="196"/>
      <c r="E32" s="197"/>
      <c r="F32" s="1"/>
      <c r="G32" s="115"/>
    </row>
    <row r="33" spans="1:7" ht="18">
      <c r="A33" s="116"/>
      <c r="B33" s="245" t="s">
        <v>101</v>
      </c>
      <c r="C33" s="255"/>
      <c r="D33" s="255"/>
      <c r="E33" s="255"/>
      <c r="F33" s="255"/>
      <c r="G33" s="51"/>
    </row>
  </sheetData>
  <sheetProtection/>
  <mergeCells count="4">
    <mergeCell ref="B5:F5"/>
    <mergeCell ref="B6:F6"/>
    <mergeCell ref="B7:F7"/>
    <mergeCell ref="B33:F33"/>
  </mergeCells>
  <printOptions/>
  <pageMargins left="1.0236220472440944" right="0.1968503937007874" top="0.984251968503937" bottom="0.984251968503937" header="0.3937007874015748" footer="0.1968503937007874"/>
  <pageSetup horizontalDpi="300" verticalDpi="300" orientation="portrait" paperSize="9" r:id="rId1"/>
  <headerFooter alignWithMargins="0">
    <oddHeader>&amp;L&amp;D
&amp;F&amp;CPROJEKT-INVEST d.o.o.&amp;R&amp;A</oddHeader>
    <oddFooter>&amp;R&amp;P</oddFooter>
  </headerFooter>
</worksheet>
</file>

<file path=xl/worksheets/sheet11.xml><?xml version="1.0" encoding="utf-8"?>
<worksheet xmlns="http://schemas.openxmlformats.org/spreadsheetml/2006/main" xmlns:r="http://schemas.openxmlformats.org/officeDocument/2006/relationships">
  <dimension ref="A1:G60"/>
  <sheetViews>
    <sheetView zoomScale="130" zoomScaleNormal="130" zoomScalePageLayoutView="0" workbookViewId="0" topLeftCell="A31">
      <selection activeCell="B35" sqref="B35"/>
    </sheetView>
  </sheetViews>
  <sheetFormatPr defaultColWidth="9" defaultRowHeight="14.25"/>
  <cols>
    <col min="1" max="1" width="5.3984375" style="9" customWidth="1"/>
    <col min="2" max="2" width="35.09765625" style="34" customWidth="1"/>
    <col min="3" max="3" width="5" style="8" customWidth="1"/>
    <col min="4" max="4" width="2.19921875" style="1" customWidth="1"/>
    <col min="5" max="5" width="8.3984375" style="4" customWidth="1"/>
    <col min="6" max="6" width="10.09765625" style="4" customWidth="1"/>
    <col min="7" max="7" width="7.09765625" style="5" customWidth="1"/>
    <col min="8" max="16384" width="9" style="1" customWidth="1"/>
  </cols>
  <sheetData>
    <row r="1" spans="1:3" ht="12.75">
      <c r="A1" s="40"/>
      <c r="B1" s="50"/>
      <c r="C1" s="4"/>
    </row>
    <row r="2" spans="1:3" ht="15.75">
      <c r="A2" s="40">
        <v>2</v>
      </c>
      <c r="B2" s="53" t="s">
        <v>24</v>
      </c>
      <c r="C2" s="4"/>
    </row>
    <row r="3" spans="1:7" ht="13.5" customHeight="1">
      <c r="A3" s="252" t="s">
        <v>30</v>
      </c>
      <c r="B3" s="252"/>
      <c r="C3" s="252"/>
      <c r="D3" s="252"/>
      <c r="E3" s="252"/>
      <c r="F3" s="252"/>
      <c r="G3" s="252"/>
    </row>
    <row r="4" spans="1:7" ht="52.5" customHeight="1">
      <c r="A4" s="252" t="s">
        <v>16</v>
      </c>
      <c r="B4" s="252"/>
      <c r="C4" s="252"/>
      <c r="D4" s="252"/>
      <c r="E4" s="252"/>
      <c r="F4" s="252"/>
      <c r="G4" s="252"/>
    </row>
    <row r="5" spans="1:7" ht="26.25" customHeight="1">
      <c r="A5" s="252" t="s">
        <v>33</v>
      </c>
      <c r="B5" s="252"/>
      <c r="C5" s="252"/>
      <c r="D5" s="252"/>
      <c r="E5" s="252"/>
      <c r="F5" s="252"/>
      <c r="G5" s="252"/>
    </row>
    <row r="6" spans="1:7" ht="65.25" customHeight="1">
      <c r="A6" s="252" t="s">
        <v>34</v>
      </c>
      <c r="B6" s="252"/>
      <c r="C6" s="252"/>
      <c r="D6" s="252"/>
      <c r="E6" s="252"/>
      <c r="F6" s="252"/>
      <c r="G6" s="252"/>
    </row>
    <row r="7" spans="1:7" ht="20.25" customHeight="1">
      <c r="A7" s="256" t="s">
        <v>203</v>
      </c>
      <c r="B7" s="256"/>
      <c r="C7" s="256"/>
      <c r="D7" s="256"/>
      <c r="E7" s="256"/>
      <c r="F7" s="256"/>
      <c r="G7" s="256"/>
    </row>
    <row r="8" spans="1:7" ht="20.25">
      <c r="A8" s="91"/>
      <c r="B8" s="79"/>
      <c r="C8" s="206"/>
      <c r="D8" s="206"/>
      <c r="F8" s="206"/>
      <c r="G8" s="206"/>
    </row>
    <row r="9" spans="1:7" ht="75" customHeight="1">
      <c r="A9" s="91" t="s">
        <v>253</v>
      </c>
      <c r="B9" s="34" t="s">
        <v>322</v>
      </c>
      <c r="C9" s="8" t="s">
        <v>21</v>
      </c>
      <c r="D9" s="3">
        <v>3</v>
      </c>
      <c r="E9" s="90">
        <v>2.5</v>
      </c>
      <c r="F9" s="206"/>
      <c r="G9" s="206"/>
    </row>
    <row r="10" spans="1:7" ht="14.25">
      <c r="A10" s="91"/>
      <c r="B10" s="35"/>
      <c r="D10" s="3"/>
      <c r="E10" s="90"/>
      <c r="F10" s="206"/>
      <c r="G10" s="206"/>
    </row>
    <row r="11" spans="1:7" ht="38.25">
      <c r="A11" s="91" t="s">
        <v>254</v>
      </c>
      <c r="B11" s="35" t="s">
        <v>204</v>
      </c>
      <c r="C11" s="8" t="s">
        <v>21</v>
      </c>
      <c r="D11" s="92">
        <v>3</v>
      </c>
      <c r="E11" s="4">
        <f>SUM(3.3*0.2*0.2)</f>
        <v>0.132</v>
      </c>
      <c r="F11" s="206"/>
      <c r="G11" s="206"/>
    </row>
    <row r="12" spans="1:7" ht="12.75">
      <c r="A12" s="91"/>
      <c r="B12" s="35"/>
      <c r="D12" s="36"/>
      <c r="F12" s="206"/>
      <c r="G12" s="206"/>
    </row>
    <row r="13" spans="1:7" ht="51">
      <c r="A13" s="91" t="s">
        <v>255</v>
      </c>
      <c r="B13" s="35" t="s">
        <v>205</v>
      </c>
      <c r="C13" s="8" t="s">
        <v>21</v>
      </c>
      <c r="D13" s="92">
        <v>3</v>
      </c>
      <c r="E13" s="4">
        <f>SUM(10.46*0.2*0.2)</f>
        <v>0.41840000000000005</v>
      </c>
      <c r="F13" s="206"/>
      <c r="G13" s="206"/>
    </row>
    <row r="14" spans="1:7" ht="12.75">
      <c r="A14" s="91"/>
      <c r="B14" s="35"/>
      <c r="C14" s="206"/>
      <c r="D14" s="206"/>
      <c r="F14" s="206"/>
      <c r="G14" s="206"/>
    </row>
    <row r="15" spans="1:7" ht="51">
      <c r="A15" s="91" t="s">
        <v>256</v>
      </c>
      <c r="B15" s="35" t="s">
        <v>206</v>
      </c>
      <c r="C15" s="8" t="s">
        <v>21</v>
      </c>
      <c r="D15" s="92">
        <v>3</v>
      </c>
      <c r="E15" s="4">
        <f>SUM((2.3+2.2)*0.5*0.3)</f>
        <v>0.6749999999999999</v>
      </c>
      <c r="F15" s="206"/>
      <c r="G15" s="206"/>
    </row>
    <row r="16" spans="1:7" ht="12.75">
      <c r="A16" s="91"/>
      <c r="B16" s="35"/>
      <c r="C16" s="206"/>
      <c r="D16" s="206"/>
      <c r="F16" s="206"/>
      <c r="G16" s="206"/>
    </row>
    <row r="17" spans="1:7" ht="25.5">
      <c r="A17" s="91" t="s">
        <v>257</v>
      </c>
      <c r="B17" s="34" t="s">
        <v>76</v>
      </c>
      <c r="C17" s="8" t="s">
        <v>21</v>
      </c>
      <c r="D17" s="3">
        <v>2</v>
      </c>
      <c r="E17" s="4">
        <v>84</v>
      </c>
      <c r="F17" s="206"/>
      <c r="G17" s="206"/>
    </row>
    <row r="18" spans="1:7" ht="12.75">
      <c r="A18" s="91"/>
      <c r="B18" s="35"/>
      <c r="C18" s="206"/>
      <c r="D18" s="206"/>
      <c r="F18" s="206"/>
      <c r="G18" s="206"/>
    </row>
    <row r="19" spans="1:7" ht="102">
      <c r="A19" s="91" t="s">
        <v>258</v>
      </c>
      <c r="B19" s="34" t="s">
        <v>77</v>
      </c>
      <c r="C19" s="8" t="s">
        <v>21</v>
      </c>
      <c r="D19" s="3">
        <v>2</v>
      </c>
      <c r="E19" s="4">
        <v>20</v>
      </c>
      <c r="F19" s="206"/>
      <c r="G19" s="206"/>
    </row>
    <row r="20" spans="1:7" ht="14.25">
      <c r="A20" s="91"/>
      <c r="D20" s="3"/>
      <c r="F20" s="206"/>
      <c r="G20" s="206"/>
    </row>
    <row r="21" spans="1:7" ht="95.25" customHeight="1">
      <c r="A21" s="91" t="s">
        <v>259</v>
      </c>
      <c r="B21" s="237" t="s">
        <v>323</v>
      </c>
      <c r="C21" s="195" t="s">
        <v>21</v>
      </c>
      <c r="D21" s="196">
        <v>2</v>
      </c>
      <c r="E21" s="197">
        <f>4.4*0.8+2.4*1.2+1+30</f>
        <v>37.4</v>
      </c>
      <c r="F21" s="1"/>
      <c r="G21" s="206"/>
    </row>
    <row r="22" spans="1:7" ht="15" customHeight="1">
      <c r="A22" s="91"/>
      <c r="B22" s="198"/>
      <c r="C22" s="195"/>
      <c r="D22" s="196"/>
      <c r="E22" s="197"/>
      <c r="F22" s="1"/>
      <c r="G22" s="206"/>
    </row>
    <row r="23" spans="1:7" ht="99.75">
      <c r="A23" s="91" t="s">
        <v>260</v>
      </c>
      <c r="B23" s="212" t="s">
        <v>324</v>
      </c>
      <c r="C23" s="195" t="s">
        <v>21</v>
      </c>
      <c r="D23" s="196">
        <v>2</v>
      </c>
      <c r="E23" s="197">
        <v>30</v>
      </c>
      <c r="F23" s="1"/>
      <c r="G23" s="206"/>
    </row>
    <row r="24" spans="1:7" ht="15" customHeight="1">
      <c r="A24" s="91"/>
      <c r="B24" s="198"/>
      <c r="C24" s="195"/>
      <c r="D24" s="196"/>
      <c r="E24" s="197"/>
      <c r="F24" s="1"/>
      <c r="G24" s="206"/>
    </row>
    <row r="25" spans="1:7" ht="42.75">
      <c r="A25" s="91" t="s">
        <v>261</v>
      </c>
      <c r="B25" s="198" t="s">
        <v>119</v>
      </c>
      <c r="C25" s="195" t="s">
        <v>21</v>
      </c>
      <c r="D25" s="196">
        <v>2</v>
      </c>
      <c r="E25" s="197">
        <f>10*4*2*1.05</f>
        <v>84</v>
      </c>
      <c r="F25" s="1"/>
      <c r="G25" s="206"/>
    </row>
    <row r="26" spans="1:7" ht="14.25">
      <c r="A26" s="91"/>
      <c r="D26" s="3"/>
      <c r="F26" s="206"/>
      <c r="G26" s="206"/>
    </row>
    <row r="27" spans="1:7" ht="71.25">
      <c r="A27" s="91" t="s">
        <v>262</v>
      </c>
      <c r="B27" s="198" t="s">
        <v>121</v>
      </c>
      <c r="C27" s="195" t="s">
        <v>21</v>
      </c>
      <c r="D27" s="196">
        <v>3</v>
      </c>
      <c r="E27" s="200">
        <f>(15+13)*0.6*0.2*1.05</f>
        <v>3.5280000000000005</v>
      </c>
      <c r="F27" s="1"/>
      <c r="G27" s="206"/>
    </row>
    <row r="28" spans="1:7" ht="14.25">
      <c r="A28" s="91"/>
      <c r="D28" s="3"/>
      <c r="F28" s="206"/>
      <c r="G28" s="206"/>
    </row>
    <row r="29" spans="1:7" ht="78.75" customHeight="1">
      <c r="A29" s="91" t="s">
        <v>263</v>
      </c>
      <c r="B29" s="211" t="s">
        <v>123</v>
      </c>
      <c r="C29" s="195" t="s">
        <v>21</v>
      </c>
      <c r="D29" s="196">
        <v>2</v>
      </c>
      <c r="E29" s="197">
        <f>13.7*13.5</f>
        <v>184.95</v>
      </c>
      <c r="F29" s="1"/>
      <c r="G29" s="206"/>
    </row>
    <row r="30" spans="1:7" ht="14.25">
      <c r="A30" s="91"/>
      <c r="D30" s="3"/>
      <c r="F30" s="206"/>
      <c r="G30" s="206"/>
    </row>
    <row r="31" spans="1:7" ht="28.5">
      <c r="A31" s="91" t="s">
        <v>264</v>
      </c>
      <c r="B31" s="198" t="s">
        <v>125</v>
      </c>
      <c r="C31" s="197"/>
      <c r="D31" s="195"/>
      <c r="E31" s="196"/>
      <c r="F31" s="197"/>
      <c r="G31" s="206"/>
    </row>
    <row r="32" spans="1:7" ht="28.5">
      <c r="A32" s="91"/>
      <c r="B32" s="198" t="s">
        <v>126</v>
      </c>
      <c r="C32" s="195" t="s">
        <v>21</v>
      </c>
      <c r="D32" s="196">
        <v>2</v>
      </c>
      <c r="E32" s="197">
        <v>7</v>
      </c>
      <c r="F32" s="1"/>
      <c r="G32" s="206"/>
    </row>
    <row r="33" spans="1:7" ht="42.75">
      <c r="A33" s="91"/>
      <c r="B33" s="198" t="s">
        <v>138</v>
      </c>
      <c r="C33" s="195" t="s">
        <v>21</v>
      </c>
      <c r="D33" s="196">
        <v>2</v>
      </c>
      <c r="E33" s="197">
        <v>8</v>
      </c>
      <c r="F33" s="1"/>
      <c r="G33" s="206"/>
    </row>
    <row r="34" spans="1:7" ht="14.25">
      <c r="A34" s="91"/>
      <c r="D34" s="3"/>
      <c r="F34" s="206"/>
      <c r="G34" s="206"/>
    </row>
    <row r="35" spans="1:7" ht="71.25">
      <c r="A35" s="91" t="s">
        <v>265</v>
      </c>
      <c r="B35" s="212" t="s">
        <v>331</v>
      </c>
      <c r="C35" s="195"/>
      <c r="D35" s="196"/>
      <c r="E35" s="197"/>
      <c r="F35" s="1"/>
      <c r="G35" s="206"/>
    </row>
    <row r="36" spans="1:7" ht="16.5">
      <c r="A36" s="91"/>
      <c r="B36" s="198" t="s">
        <v>129</v>
      </c>
      <c r="C36" s="195" t="s">
        <v>21</v>
      </c>
      <c r="D36" s="196">
        <v>2</v>
      </c>
      <c r="E36" s="197">
        <f>13.96*3+6</f>
        <v>47.88</v>
      </c>
      <c r="F36" s="1"/>
      <c r="G36" s="206"/>
    </row>
    <row r="37" spans="1:7" ht="16.5">
      <c r="A37" s="91"/>
      <c r="B37" s="198" t="s">
        <v>130</v>
      </c>
      <c r="C37" s="195" t="s">
        <v>21</v>
      </c>
      <c r="D37" s="196">
        <v>2</v>
      </c>
      <c r="E37" s="197">
        <f>8+10+4</f>
        <v>22</v>
      </c>
      <c r="F37" s="1"/>
      <c r="G37" s="206"/>
    </row>
    <row r="38" spans="1:7" ht="14.25">
      <c r="A38" s="91"/>
      <c r="D38" s="3"/>
      <c r="F38" s="206"/>
      <c r="G38" s="206"/>
    </row>
    <row r="39" spans="1:7" ht="66.75" customHeight="1">
      <c r="A39" s="91" t="s">
        <v>266</v>
      </c>
      <c r="B39" s="237" t="s">
        <v>326</v>
      </c>
      <c r="C39" s="195" t="s">
        <v>21</v>
      </c>
      <c r="D39" s="196">
        <v>2</v>
      </c>
      <c r="E39" s="4">
        <v>45</v>
      </c>
      <c r="F39" s="206"/>
      <c r="G39" s="206"/>
    </row>
    <row r="40" spans="1:7" ht="14.25">
      <c r="A40" s="91"/>
      <c r="D40" s="3"/>
      <c r="F40" s="206"/>
      <c r="G40" s="206"/>
    </row>
    <row r="41" spans="1:7" ht="102" customHeight="1">
      <c r="A41" s="91" t="s">
        <v>267</v>
      </c>
      <c r="B41" s="34" t="s">
        <v>325</v>
      </c>
      <c r="C41" s="8" t="s">
        <v>115</v>
      </c>
      <c r="D41" s="3"/>
      <c r="E41" s="4">
        <v>45</v>
      </c>
      <c r="F41" s="206"/>
      <c r="G41" s="206"/>
    </row>
    <row r="42" spans="1:7" ht="14.25">
      <c r="A42" s="91"/>
      <c r="D42" s="3"/>
      <c r="F42" s="206"/>
      <c r="G42" s="206"/>
    </row>
    <row r="43" spans="1:7" ht="14.25">
      <c r="A43" s="91"/>
      <c r="D43" s="3"/>
      <c r="F43" s="206"/>
      <c r="G43" s="206"/>
    </row>
    <row r="44" spans="1:7" ht="25.5">
      <c r="A44" s="91" t="s">
        <v>268</v>
      </c>
      <c r="B44" s="34" t="s">
        <v>327</v>
      </c>
      <c r="C44" s="8" t="s">
        <v>115</v>
      </c>
      <c r="D44" s="3"/>
      <c r="E44" s="4">
        <f>7.96*1.05</f>
        <v>8.358</v>
      </c>
      <c r="F44" s="206"/>
      <c r="G44" s="206"/>
    </row>
    <row r="45" spans="1:7" ht="14.25">
      <c r="A45" s="1"/>
      <c r="D45" s="3"/>
      <c r="F45" s="206"/>
      <c r="G45" s="206"/>
    </row>
    <row r="46" spans="1:7" ht="14.25">
      <c r="A46" s="94"/>
      <c r="D46" s="3"/>
      <c r="F46" s="206"/>
      <c r="G46" s="206"/>
    </row>
    <row r="47" spans="1:7" ht="18.75">
      <c r="A47" s="93"/>
      <c r="B47" s="64" t="s">
        <v>24</v>
      </c>
      <c r="C47" s="42"/>
      <c r="D47" s="43"/>
      <c r="E47" s="44"/>
      <c r="F47" s="45"/>
      <c r="G47" s="51"/>
    </row>
    <row r="49" spans="2:5" ht="12.75">
      <c r="B49" s="1"/>
      <c r="C49" s="1"/>
      <c r="E49" s="1"/>
    </row>
    <row r="50" spans="1:5" ht="12.75">
      <c r="A50" s="1"/>
      <c r="B50" s="1"/>
      <c r="C50" s="1"/>
      <c r="E50" s="1"/>
    </row>
    <row r="51" spans="1:5" ht="12.75">
      <c r="A51" s="1"/>
      <c r="B51" s="1"/>
      <c r="C51" s="1"/>
      <c r="E51" s="1"/>
    </row>
    <row r="52" spans="1:5" ht="12.75">
      <c r="A52" s="1"/>
      <c r="B52" s="1"/>
      <c r="C52" s="1"/>
      <c r="E52" s="1"/>
    </row>
    <row r="53" spans="1:5" ht="12.75">
      <c r="A53" s="1"/>
      <c r="B53" s="1"/>
      <c r="C53" s="1"/>
      <c r="E53" s="1"/>
    </row>
    <row r="54" spans="1:5" ht="12.75">
      <c r="A54" s="1"/>
      <c r="B54" s="1"/>
      <c r="C54" s="1"/>
      <c r="E54" s="1"/>
    </row>
    <row r="55" spans="1:5" ht="12.75">
      <c r="A55" s="1"/>
      <c r="B55" s="1"/>
      <c r="C55" s="1"/>
      <c r="E55" s="1"/>
    </row>
    <row r="56" spans="2:5" ht="12.75">
      <c r="B56" s="1"/>
      <c r="C56" s="1"/>
      <c r="E56" s="1"/>
    </row>
    <row r="57" spans="2:5" ht="12.75">
      <c r="B57" s="1"/>
      <c r="C57" s="1"/>
      <c r="E57" s="1"/>
    </row>
    <row r="58" spans="2:5" ht="12.75">
      <c r="B58" s="1"/>
      <c r="C58" s="1"/>
      <c r="E58" s="1"/>
    </row>
    <row r="59" spans="2:5" ht="12.75">
      <c r="B59" s="1"/>
      <c r="C59" s="1"/>
      <c r="E59" s="1"/>
    </row>
    <row r="60" spans="2:5" ht="12.75">
      <c r="B60" s="1"/>
      <c r="C60" s="1"/>
      <c r="E60" s="1"/>
    </row>
  </sheetData>
  <sheetProtection/>
  <mergeCells count="5">
    <mergeCell ref="A3:G3"/>
    <mergeCell ref="A4:G4"/>
    <mergeCell ref="A5:G5"/>
    <mergeCell ref="A6:G6"/>
    <mergeCell ref="A7:G7"/>
  </mergeCells>
  <printOptions/>
  <pageMargins left="0.984251968503937" right="0.1968503937007874" top="0.7874015748031497" bottom="0.7874015748031497" header="0.1968503937007874" footer="0.1968503937007874"/>
  <pageSetup horizontalDpi="300" verticalDpi="300" orientation="portrait" paperSize="9" r:id="rId1"/>
  <headerFooter alignWithMargins="0">
    <oddHeader>&amp;L&amp;9&amp;F&amp;R&amp;9&amp;A</oddHeader>
    <oddFooter>&amp;L&amp;9&amp;D&amp;C&amp;9PROJEKT-INVEST d.o.o.&amp;R&amp;9&amp;P</oddFooter>
  </headerFooter>
</worksheet>
</file>

<file path=xl/worksheets/sheet12.xml><?xml version="1.0" encoding="utf-8"?>
<worksheet xmlns="http://schemas.openxmlformats.org/spreadsheetml/2006/main" xmlns:r="http://schemas.openxmlformats.org/officeDocument/2006/relationships">
  <dimension ref="A1:G23"/>
  <sheetViews>
    <sheetView zoomScale="130" zoomScaleNormal="130" zoomScalePageLayoutView="0" workbookViewId="0" topLeftCell="A16">
      <selection activeCell="B28" sqref="B28"/>
    </sheetView>
  </sheetViews>
  <sheetFormatPr defaultColWidth="9" defaultRowHeight="14.25"/>
  <cols>
    <col min="1" max="1" width="4.5" style="9" customWidth="1"/>
    <col min="2" max="2" width="35.09765625" style="1" customWidth="1"/>
    <col min="3" max="3" width="5" style="8" customWidth="1"/>
    <col min="4" max="4" width="2.19921875" style="1" customWidth="1"/>
    <col min="5" max="5" width="8.69921875" style="4" customWidth="1"/>
    <col min="6" max="6" width="10.09765625" style="4" customWidth="1"/>
    <col min="7" max="7" width="5.3984375" style="5" customWidth="1"/>
    <col min="8" max="16384" width="9" style="1" customWidth="1"/>
  </cols>
  <sheetData>
    <row r="1" spans="1:3" ht="12.75">
      <c r="A1" s="40"/>
      <c r="B1" s="61"/>
      <c r="C1" s="4"/>
    </row>
    <row r="2" spans="1:3" ht="15">
      <c r="A2" s="40">
        <v>3</v>
      </c>
      <c r="B2" s="38" t="s">
        <v>25</v>
      </c>
      <c r="C2" s="4"/>
    </row>
    <row r="3" spans="1:7" ht="12.75">
      <c r="A3" s="257" t="s">
        <v>30</v>
      </c>
      <c r="B3" s="257"/>
      <c r="C3" s="257"/>
      <c r="D3" s="257"/>
      <c r="E3" s="257"/>
      <c r="F3" s="257"/>
      <c r="G3" s="257"/>
    </row>
    <row r="4" spans="1:7" ht="43.5" customHeight="1">
      <c r="A4" s="257" t="s">
        <v>13</v>
      </c>
      <c r="B4" s="257"/>
      <c r="C4" s="257"/>
      <c r="D4" s="257"/>
      <c r="E4" s="257"/>
      <c r="F4" s="257"/>
      <c r="G4" s="257"/>
    </row>
    <row r="5" spans="1:7" ht="12.75">
      <c r="A5" s="257" t="s">
        <v>207</v>
      </c>
      <c r="B5" s="257"/>
      <c r="C5" s="257"/>
      <c r="D5" s="257"/>
      <c r="E5" s="257"/>
      <c r="F5" s="257"/>
      <c r="G5" s="257"/>
    </row>
    <row r="6" spans="1:7" ht="12.75">
      <c r="A6" s="209"/>
      <c r="B6" s="209"/>
      <c r="C6" s="209"/>
      <c r="D6" s="209"/>
      <c r="E6" s="209"/>
      <c r="F6" s="209"/>
      <c r="G6" s="209"/>
    </row>
    <row r="7" spans="1:5" ht="175.5" customHeight="1">
      <c r="A7" s="94" t="s">
        <v>36</v>
      </c>
      <c r="B7" s="34" t="s">
        <v>328</v>
      </c>
      <c r="C7" s="8" t="s">
        <v>21</v>
      </c>
      <c r="D7" s="36" t="s">
        <v>35</v>
      </c>
      <c r="E7" s="60">
        <f>SUM(62.1+8.3+1)</f>
        <v>71.4</v>
      </c>
    </row>
    <row r="8" spans="1:2" ht="20.25">
      <c r="A8" s="95"/>
      <c r="B8" s="70"/>
    </row>
    <row r="9" spans="1:5" ht="72" customHeight="1">
      <c r="A9" s="94" t="s">
        <v>37</v>
      </c>
      <c r="B9" s="34" t="s">
        <v>209</v>
      </c>
      <c r="C9" s="8" t="s">
        <v>21</v>
      </c>
      <c r="D9" s="92">
        <v>1</v>
      </c>
      <c r="E9" s="4">
        <f>SUM(13.6*2+8.9*2+5.9*2+6.4+1.7+2.5+0.8)</f>
        <v>68.19999999999999</v>
      </c>
    </row>
    <row r="10" spans="1:4" ht="20.25">
      <c r="A10" s="95"/>
      <c r="B10" s="7"/>
      <c r="D10" s="36"/>
    </row>
    <row r="11" spans="1:5" ht="131.25" customHeight="1">
      <c r="A11" s="94" t="s">
        <v>0</v>
      </c>
      <c r="B11" s="96" t="s">
        <v>210</v>
      </c>
      <c r="C11" s="8" t="s">
        <v>21</v>
      </c>
      <c r="D11" s="3">
        <v>1</v>
      </c>
      <c r="E11" s="4">
        <f>SUM(1.3+0.6+0.4+1+3.3)</f>
        <v>6.6</v>
      </c>
    </row>
    <row r="12" spans="1:5" ht="25.5">
      <c r="A12" s="94"/>
      <c r="B12" s="96" t="s">
        <v>269</v>
      </c>
      <c r="C12" s="8" t="s">
        <v>86</v>
      </c>
      <c r="D12" s="3"/>
      <c r="E12" s="4">
        <v>6.6</v>
      </c>
    </row>
    <row r="13" spans="1:4" ht="14.25">
      <c r="A13" s="94"/>
      <c r="B13" s="96"/>
      <c r="D13" s="3"/>
    </row>
    <row r="14" spans="1:4" ht="14.25">
      <c r="A14" s="94"/>
      <c r="B14" s="34"/>
      <c r="D14" s="3"/>
    </row>
    <row r="15" spans="1:5" ht="114.75" customHeight="1">
      <c r="A15" s="94" t="s">
        <v>270</v>
      </c>
      <c r="B15" s="96" t="s">
        <v>211</v>
      </c>
      <c r="C15" s="8" t="s">
        <v>4</v>
      </c>
      <c r="D15" s="3"/>
      <c r="E15" s="168">
        <v>9</v>
      </c>
    </row>
    <row r="16" spans="1:4" ht="14.25">
      <c r="A16" s="94"/>
      <c r="B16" s="96"/>
      <c r="D16" s="3"/>
    </row>
    <row r="17" spans="1:5" ht="78" customHeight="1">
      <c r="A17" s="94" t="s">
        <v>140</v>
      </c>
      <c r="B17" s="96" t="s">
        <v>212</v>
      </c>
      <c r="C17" s="8" t="s">
        <v>21</v>
      </c>
      <c r="D17" s="3">
        <v>1</v>
      </c>
      <c r="E17" s="4">
        <f>10*1.25+4*4.7</f>
        <v>31.3</v>
      </c>
    </row>
    <row r="18" spans="1:4" ht="22.5" customHeight="1">
      <c r="A18" s="94"/>
      <c r="B18" s="96"/>
      <c r="D18" s="3"/>
    </row>
    <row r="19" spans="1:5" ht="42.75">
      <c r="A19" s="94" t="s">
        <v>183</v>
      </c>
      <c r="B19" s="198" t="s">
        <v>124</v>
      </c>
      <c r="C19" s="195" t="s">
        <v>21</v>
      </c>
      <c r="D19" s="196">
        <v>2</v>
      </c>
      <c r="E19" s="197">
        <v>4</v>
      </c>
    </row>
    <row r="20" spans="1:5" ht="16.5">
      <c r="A20" s="94"/>
      <c r="B20" s="198"/>
      <c r="C20" s="195"/>
      <c r="D20" s="196"/>
      <c r="E20" s="197"/>
    </row>
    <row r="21" spans="1:7" s="10" customFormat="1" ht="18.75">
      <c r="A21" s="52"/>
      <c r="B21" s="46" t="s">
        <v>25</v>
      </c>
      <c r="C21" s="42"/>
      <c r="D21" s="43"/>
      <c r="E21" s="44"/>
      <c r="F21" s="45"/>
      <c r="G21" s="51"/>
    </row>
    <row r="22" spans="2:4" ht="14.25">
      <c r="B22" s="7"/>
      <c r="D22" s="3"/>
    </row>
    <row r="23" spans="2:4" ht="14.25">
      <c r="B23" s="7"/>
      <c r="D23" s="3"/>
    </row>
  </sheetData>
  <sheetProtection/>
  <mergeCells count="3">
    <mergeCell ref="A5:G5"/>
    <mergeCell ref="A3:G3"/>
    <mergeCell ref="A4:G4"/>
  </mergeCells>
  <printOptions/>
  <pageMargins left="0.984251968503937" right="0.1968503937007874" top="0.7874015748031497" bottom="0.7874015748031497" header="0.1968503937007874" footer="0.1968503937007874"/>
  <pageSetup horizontalDpi="600" verticalDpi="600" orientation="portrait" paperSize="9" r:id="rId1"/>
  <headerFooter alignWithMargins="0">
    <oddHeader>&amp;L&amp;9&amp;F&amp;R&amp;9&amp;A</oddHeader>
    <oddFooter>&amp;L&amp;9&amp;D&amp;C&amp;9PROJEKT-INVEST d.o.o.&amp;R&amp;9&amp;P</oddFooter>
  </headerFooter>
</worksheet>
</file>

<file path=xl/worksheets/sheet13.xml><?xml version="1.0" encoding="utf-8"?>
<worksheet xmlns="http://schemas.openxmlformats.org/spreadsheetml/2006/main" xmlns:r="http://schemas.openxmlformats.org/officeDocument/2006/relationships">
  <dimension ref="A1:G14"/>
  <sheetViews>
    <sheetView zoomScale="130" zoomScaleNormal="130" zoomScalePageLayoutView="0" workbookViewId="0" topLeftCell="A5">
      <selection activeCell="H11" sqref="H11"/>
    </sheetView>
  </sheetViews>
  <sheetFormatPr defaultColWidth="9" defaultRowHeight="14.25"/>
  <cols>
    <col min="1" max="1" width="4.5" style="9" customWidth="1"/>
    <col min="2" max="2" width="35.09765625" style="1" customWidth="1"/>
    <col min="3" max="3" width="5" style="8" customWidth="1"/>
    <col min="4" max="4" width="2.19921875" style="1" customWidth="1"/>
    <col min="5" max="5" width="6.69921875" style="4" customWidth="1"/>
    <col min="6" max="6" width="11.3984375" style="4" customWidth="1"/>
    <col min="7" max="7" width="14.09765625" style="5" customWidth="1"/>
    <col min="8" max="16384" width="9" style="1" customWidth="1"/>
  </cols>
  <sheetData>
    <row r="1" spans="1:3" ht="15">
      <c r="A1" s="40"/>
      <c r="B1" s="38"/>
      <c r="C1" s="4"/>
    </row>
    <row r="2" spans="1:2" ht="15.75">
      <c r="A2" s="40">
        <v>4</v>
      </c>
      <c r="B2" s="10" t="s">
        <v>5</v>
      </c>
    </row>
    <row r="3" spans="1:7" ht="12.75">
      <c r="A3" s="252" t="s">
        <v>30</v>
      </c>
      <c r="B3" s="252"/>
      <c r="C3" s="252"/>
      <c r="D3" s="252"/>
      <c r="E3" s="252"/>
      <c r="F3" s="252"/>
      <c r="G3" s="252"/>
    </row>
    <row r="4" spans="1:7" ht="33" customHeight="1">
      <c r="A4" s="59"/>
      <c r="B4" s="258" t="s">
        <v>6</v>
      </c>
      <c r="C4" s="258"/>
      <c r="D4" s="258"/>
      <c r="E4" s="258"/>
      <c r="F4" s="258"/>
      <c r="G4" s="59"/>
    </row>
    <row r="5" spans="1:7" ht="12.75">
      <c r="A5" s="59"/>
      <c r="B5" s="206" t="s">
        <v>271</v>
      </c>
      <c r="C5" s="59"/>
      <c r="D5" s="59"/>
      <c r="E5" s="59"/>
      <c r="F5" s="59"/>
      <c r="G5" s="59"/>
    </row>
    <row r="6" spans="1:7" ht="12.75">
      <c r="A6" s="59"/>
      <c r="B6" s="59"/>
      <c r="C6" s="59"/>
      <c r="D6" s="59"/>
      <c r="E6" s="59"/>
      <c r="F6" s="59"/>
      <c r="G6" s="59"/>
    </row>
    <row r="7" spans="1:7" ht="12.75">
      <c r="A7" s="59"/>
      <c r="B7" s="59"/>
      <c r="C7" s="59"/>
      <c r="D7" s="59"/>
      <c r="E7" s="59"/>
      <c r="F7" s="59"/>
      <c r="G7" s="59"/>
    </row>
    <row r="8" spans="1:7" ht="126" customHeight="1">
      <c r="A8" s="34">
        <v>4.1</v>
      </c>
      <c r="B8" s="63" t="s">
        <v>272</v>
      </c>
      <c r="C8" s="8" t="s">
        <v>29</v>
      </c>
      <c r="D8" s="37"/>
      <c r="E8" s="83">
        <f>SUM(17*2+3*2+5)+1</f>
        <v>46</v>
      </c>
      <c r="F8" s="35"/>
      <c r="G8" s="35"/>
    </row>
    <row r="9" spans="1:7" ht="20.25">
      <c r="A9" s="73"/>
      <c r="B9" s="63"/>
      <c r="C9" s="58"/>
      <c r="D9" s="35"/>
      <c r="E9" s="7"/>
      <c r="F9" s="35"/>
      <c r="G9" s="35"/>
    </row>
    <row r="10" spans="1:7" ht="102">
      <c r="A10" s="34">
        <v>4.2</v>
      </c>
      <c r="B10" s="63" t="s">
        <v>208</v>
      </c>
      <c r="C10" s="8" t="s">
        <v>21</v>
      </c>
      <c r="D10" s="37"/>
      <c r="E10" s="83">
        <v>8</v>
      </c>
      <c r="F10" s="35"/>
      <c r="G10" s="35"/>
    </row>
    <row r="11" spans="1:7" ht="14.25" customHeight="1">
      <c r="A11" s="73"/>
      <c r="B11" s="63"/>
      <c r="C11" s="58"/>
      <c r="D11" s="35"/>
      <c r="E11" s="7"/>
      <c r="F11" s="35"/>
      <c r="G11" s="35"/>
    </row>
    <row r="12" spans="1:7" ht="16.5" customHeight="1">
      <c r="A12" s="28"/>
      <c r="B12" s="80"/>
      <c r="C12" s="22"/>
      <c r="D12" s="23"/>
      <c r="E12" s="24"/>
      <c r="F12" s="24"/>
      <c r="G12" s="25"/>
    </row>
    <row r="13" spans="1:7" ht="18.75">
      <c r="A13" s="52"/>
      <c r="B13" s="46" t="s">
        <v>5</v>
      </c>
      <c r="C13" s="42"/>
      <c r="D13" s="43"/>
      <c r="E13" s="44"/>
      <c r="F13" s="45"/>
      <c r="G13" s="51"/>
    </row>
    <row r="14" spans="1:7" ht="18.75">
      <c r="A14" s="15"/>
      <c r="B14" s="13"/>
      <c r="C14" s="16"/>
      <c r="D14" s="17"/>
      <c r="E14" s="18"/>
      <c r="F14" s="10"/>
      <c r="G14" s="20"/>
    </row>
  </sheetData>
  <sheetProtection/>
  <mergeCells count="2">
    <mergeCell ref="A3:G3"/>
    <mergeCell ref="B4:F4"/>
  </mergeCells>
  <printOptions/>
  <pageMargins left="0.984251968503937" right="0.1968503937007874" top="0.5905511811023623" bottom="0.7874015748031497" header="0.1968503937007874" footer="0.1968503937007874"/>
  <pageSetup horizontalDpi="300" verticalDpi="300" orientation="portrait" paperSize="9" r:id="rId1"/>
  <headerFooter alignWithMargins="0">
    <oddHeader>&amp;L&amp;9&amp;F&amp;R&amp;9&amp;A</oddHeader>
    <oddFooter>&amp;L&amp;9&amp;D&amp;C&amp;9PROJEKT-INVEST d.o.o.&amp;R&amp;9&amp;P</oddFooter>
  </headerFooter>
</worksheet>
</file>

<file path=xl/worksheets/sheet14.xml><?xml version="1.0" encoding="utf-8"?>
<worksheet xmlns="http://schemas.openxmlformats.org/spreadsheetml/2006/main" xmlns:r="http://schemas.openxmlformats.org/officeDocument/2006/relationships">
  <dimension ref="A2:G17"/>
  <sheetViews>
    <sheetView zoomScale="130" zoomScaleNormal="130" zoomScalePageLayoutView="0" workbookViewId="0" topLeftCell="A7">
      <selection activeCell="B15" sqref="B15"/>
    </sheetView>
  </sheetViews>
  <sheetFormatPr defaultColWidth="9" defaultRowHeight="14.25"/>
  <cols>
    <col min="1" max="1" width="4.5" style="9" customWidth="1"/>
    <col min="2" max="2" width="35.09765625" style="1" customWidth="1"/>
    <col min="3" max="3" width="5" style="8" customWidth="1"/>
    <col min="4" max="4" width="2.19921875" style="1" customWidth="1"/>
    <col min="5" max="5" width="6.69921875" style="4" customWidth="1"/>
    <col min="6" max="6" width="8.69921875" style="4" customWidth="1"/>
    <col min="7" max="7" width="16.69921875" style="5" customWidth="1"/>
    <col min="8" max="16384" width="9" style="1" customWidth="1"/>
  </cols>
  <sheetData>
    <row r="2" spans="1:2" ht="15.75">
      <c r="A2" s="40">
        <v>5</v>
      </c>
      <c r="B2" s="53" t="s">
        <v>46</v>
      </c>
    </row>
    <row r="3" spans="1:7" ht="12.75">
      <c r="A3" s="248" t="s">
        <v>30</v>
      </c>
      <c r="B3" s="248"/>
      <c r="C3" s="248"/>
      <c r="D3" s="248"/>
      <c r="E3" s="248"/>
      <c r="F3" s="248"/>
      <c r="G3" s="248"/>
    </row>
    <row r="4" spans="1:7" ht="39.75" customHeight="1">
      <c r="A4" s="248" t="s">
        <v>7</v>
      </c>
      <c r="B4" s="248"/>
      <c r="C4" s="248"/>
      <c r="D4" s="248"/>
      <c r="E4" s="248"/>
      <c r="F4" s="248"/>
      <c r="G4" s="248"/>
    </row>
    <row r="5" spans="1:7" ht="13.5" customHeight="1">
      <c r="A5" s="248"/>
      <c r="B5" s="248"/>
      <c r="C5" s="248"/>
      <c r="D5" s="248"/>
      <c r="E5" s="248"/>
      <c r="F5" s="248"/>
      <c r="G5" s="248"/>
    </row>
    <row r="6" spans="1:7" ht="54.75" customHeight="1">
      <c r="A6" s="248" t="s">
        <v>38</v>
      </c>
      <c r="B6" s="248"/>
      <c r="C6" s="248"/>
      <c r="D6" s="248"/>
      <c r="E6" s="248"/>
      <c r="F6" s="248"/>
      <c r="G6" s="248"/>
    </row>
    <row r="7" spans="1:7" ht="12.75">
      <c r="A7" s="19"/>
      <c r="B7" s="19"/>
      <c r="C7" s="19"/>
      <c r="D7" s="19"/>
      <c r="E7" s="19"/>
      <c r="F7" s="19"/>
      <c r="G7" s="19"/>
    </row>
    <row r="8" spans="1:7" ht="16.5" customHeight="1">
      <c r="A8" s="248" t="s">
        <v>49</v>
      </c>
      <c r="B8" s="248"/>
      <c r="C8" s="248"/>
      <c r="D8" s="248"/>
      <c r="E8" s="248"/>
      <c r="F8" s="248"/>
      <c r="G8" s="97"/>
    </row>
    <row r="9" spans="1:7" ht="12.75">
      <c r="A9" s="19"/>
      <c r="B9" s="19"/>
      <c r="C9" s="19"/>
      <c r="D9" s="19"/>
      <c r="E9" s="19"/>
      <c r="F9" s="19"/>
      <c r="G9" s="19"/>
    </row>
    <row r="10" spans="1:7" ht="165" customHeight="1">
      <c r="A10" s="94" t="s">
        <v>8</v>
      </c>
      <c r="B10" s="34" t="s">
        <v>273</v>
      </c>
      <c r="D10" s="57"/>
      <c r="E10" s="71"/>
      <c r="F10" s="19"/>
      <c r="G10" s="19"/>
    </row>
    <row r="11" spans="2:7" ht="12.75">
      <c r="B11" s="158" t="s">
        <v>23</v>
      </c>
      <c r="C11" s="8" t="s">
        <v>29</v>
      </c>
      <c r="D11" s="57"/>
      <c r="E11" s="71">
        <v>1</v>
      </c>
      <c r="F11" s="19"/>
      <c r="G11" s="19"/>
    </row>
    <row r="12" spans="1:7" ht="20.25">
      <c r="A12" s="72"/>
      <c r="B12" s="19"/>
      <c r="D12" s="57"/>
      <c r="E12" s="71"/>
      <c r="F12" s="19"/>
      <c r="G12" s="19"/>
    </row>
    <row r="13" spans="1:7" ht="14.25">
      <c r="A13" s="28"/>
      <c r="B13" s="21"/>
      <c r="C13" s="22"/>
      <c r="D13" s="23"/>
      <c r="E13" s="24"/>
      <c r="F13" s="24"/>
      <c r="G13" s="25"/>
    </row>
    <row r="14" spans="1:7" ht="18.75">
      <c r="A14" s="52"/>
      <c r="B14" s="46" t="s">
        <v>46</v>
      </c>
      <c r="C14" s="54"/>
      <c r="D14" s="55"/>
      <c r="E14" s="56"/>
      <c r="F14" s="54"/>
      <c r="G14" s="48"/>
    </row>
    <row r="15" spans="2:7" ht="14.25">
      <c r="B15" s="7"/>
      <c r="D15" s="3"/>
      <c r="G15" s="12"/>
    </row>
    <row r="16" spans="2:7" ht="14.25">
      <c r="B16" s="7"/>
      <c r="D16" s="3"/>
      <c r="G16" s="12"/>
    </row>
    <row r="17" spans="3:7" ht="35.25" customHeight="1">
      <c r="C17" s="1"/>
      <c r="E17" s="1"/>
      <c r="F17" s="1"/>
      <c r="G17" s="5" t="s">
        <v>23</v>
      </c>
    </row>
  </sheetData>
  <sheetProtection/>
  <mergeCells count="5">
    <mergeCell ref="A8:F8"/>
    <mergeCell ref="A3:G3"/>
    <mergeCell ref="A4:G4"/>
    <mergeCell ref="A5:G5"/>
    <mergeCell ref="A6:G6"/>
  </mergeCells>
  <printOptions/>
  <pageMargins left="0.984251968503937" right="0.1968503937007874" top="0.7874015748031497" bottom="0.7874015748031497" header="0.1968503937007874" footer="0.1968503937007874"/>
  <pageSetup horizontalDpi="300" verticalDpi="300" orientation="portrait" paperSize="9" r:id="rId1"/>
  <headerFooter alignWithMargins="0">
    <oddHeader>&amp;L&amp;9&amp;F&amp;R&amp;9&amp;A</oddHeader>
    <oddFooter>&amp;L&amp;9&amp;D&amp;C&amp;9PROJEKT-INVEST d.o.o.&amp;R&amp;9&amp;P</oddFooter>
  </headerFooter>
</worksheet>
</file>

<file path=xl/worksheets/sheet15.xml><?xml version="1.0" encoding="utf-8"?>
<worksheet xmlns="http://schemas.openxmlformats.org/spreadsheetml/2006/main" xmlns:r="http://schemas.openxmlformats.org/officeDocument/2006/relationships">
  <dimension ref="A2:G29"/>
  <sheetViews>
    <sheetView zoomScale="130" zoomScaleNormal="130" zoomScalePageLayoutView="0" workbookViewId="0" topLeftCell="A11">
      <selection activeCell="B14" sqref="B14"/>
    </sheetView>
  </sheetViews>
  <sheetFormatPr defaultColWidth="9" defaultRowHeight="14.25"/>
  <cols>
    <col min="1" max="1" width="4.5" style="9" customWidth="1"/>
    <col min="2" max="2" width="35.09765625" style="1" customWidth="1"/>
    <col min="3" max="3" width="5" style="8" customWidth="1"/>
    <col min="4" max="4" width="2.19921875" style="1" customWidth="1"/>
    <col min="5" max="5" width="7.69921875" style="4" customWidth="1"/>
    <col min="6" max="6" width="8.69921875" style="4" customWidth="1"/>
    <col min="7" max="7" width="16.69921875" style="5" customWidth="1"/>
    <col min="8" max="16384" width="9" style="1" customWidth="1"/>
  </cols>
  <sheetData>
    <row r="2" spans="1:2" ht="15.75">
      <c r="A2" s="213">
        <v>6</v>
      </c>
      <c r="B2" s="10" t="s">
        <v>15</v>
      </c>
    </row>
    <row r="3" spans="1:2" ht="15.75">
      <c r="A3" s="213"/>
      <c r="B3" s="10"/>
    </row>
    <row r="4" spans="1:2" ht="78.75" customHeight="1">
      <c r="A4" s="94" t="s">
        <v>39</v>
      </c>
      <c r="B4" s="34" t="s">
        <v>78</v>
      </c>
    </row>
    <row r="5" spans="1:5" ht="14.25">
      <c r="A5" s="94"/>
      <c r="B5" s="98" t="s">
        <v>42</v>
      </c>
      <c r="C5" s="8" t="s">
        <v>21</v>
      </c>
      <c r="D5" s="3">
        <v>2</v>
      </c>
      <c r="E5" s="4">
        <f>SUM((0.46*4)*2)</f>
        <v>3.68</v>
      </c>
    </row>
    <row r="6" spans="1:5" ht="14.25">
      <c r="A6" s="94"/>
      <c r="B6" s="98" t="s">
        <v>43</v>
      </c>
      <c r="C6" s="8" t="s">
        <v>21</v>
      </c>
      <c r="D6" s="3">
        <v>2</v>
      </c>
      <c r="E6" s="4">
        <f>SUM((0.46*4)*1.6)</f>
        <v>2.9440000000000004</v>
      </c>
    </row>
    <row r="7" spans="1:5" ht="14.25">
      <c r="A7" s="94"/>
      <c r="B7" s="98" t="s">
        <v>40</v>
      </c>
      <c r="C7" s="8" t="s">
        <v>21</v>
      </c>
      <c r="D7" s="3">
        <v>2</v>
      </c>
      <c r="E7" s="4">
        <f>SUM((0.46*4)*2)</f>
        <v>3.68</v>
      </c>
    </row>
    <row r="8" spans="1:5" ht="14.25">
      <c r="A8" s="94"/>
      <c r="B8" s="98" t="s">
        <v>41</v>
      </c>
      <c r="C8" s="8" t="s">
        <v>21</v>
      </c>
      <c r="D8" s="3">
        <v>2</v>
      </c>
      <c r="E8" s="4">
        <f>SUM((0.46*4)*1.6)</f>
        <v>2.9440000000000004</v>
      </c>
    </row>
    <row r="9" spans="1:4" ht="14.25">
      <c r="A9" s="94"/>
      <c r="B9" s="98"/>
      <c r="D9" s="3"/>
    </row>
    <row r="10" spans="1:4" ht="14.25">
      <c r="A10" s="94"/>
      <c r="B10" s="98"/>
      <c r="D10" s="3"/>
    </row>
    <row r="11" spans="1:6" ht="78" customHeight="1">
      <c r="A11" s="94" t="s">
        <v>139</v>
      </c>
      <c r="B11" s="207" t="s">
        <v>214</v>
      </c>
      <c r="C11" s="195" t="s">
        <v>21</v>
      </c>
      <c r="D11" s="196">
        <v>1</v>
      </c>
      <c r="E11" s="197">
        <v>10</v>
      </c>
      <c r="F11" s="1"/>
    </row>
    <row r="12" spans="1:4" ht="14.25">
      <c r="A12" s="94"/>
      <c r="B12" s="98"/>
      <c r="D12" s="3"/>
    </row>
    <row r="13" spans="1:4" ht="14.25">
      <c r="A13" s="94"/>
      <c r="B13" s="98"/>
      <c r="D13" s="3"/>
    </row>
    <row r="14" spans="1:7" ht="18.75">
      <c r="A14" s="52"/>
      <c r="B14" s="46" t="s">
        <v>274</v>
      </c>
      <c r="C14" s="42"/>
      <c r="D14" s="43"/>
      <c r="E14" s="44"/>
      <c r="F14" s="45"/>
      <c r="G14" s="51"/>
    </row>
    <row r="15" spans="2:7" ht="14.25">
      <c r="B15" s="7"/>
      <c r="D15" s="3"/>
      <c r="G15" s="12"/>
    </row>
    <row r="16" spans="2:7" ht="14.25">
      <c r="B16" s="7"/>
      <c r="D16" s="3"/>
      <c r="G16" s="12"/>
    </row>
    <row r="17" spans="2:7" ht="14.25">
      <c r="B17" s="34"/>
      <c r="D17" s="3"/>
      <c r="G17" s="12"/>
    </row>
    <row r="18" spans="2:7" ht="14.25">
      <c r="B18" s="7"/>
      <c r="D18" s="3"/>
      <c r="G18" s="12"/>
    </row>
    <row r="19" spans="2:7" ht="14.25">
      <c r="B19" s="7"/>
      <c r="D19" s="3"/>
      <c r="G19" s="12"/>
    </row>
    <row r="20" spans="2:7" ht="14.25">
      <c r="B20" s="7"/>
      <c r="D20" s="3"/>
      <c r="G20" s="12"/>
    </row>
    <row r="21" spans="2:7" ht="14.25">
      <c r="B21" s="7"/>
      <c r="D21" s="3"/>
      <c r="G21" s="12"/>
    </row>
    <row r="22" spans="2:7" ht="14.25">
      <c r="B22" s="7"/>
      <c r="D22" s="3"/>
      <c r="G22" s="12"/>
    </row>
    <row r="23" spans="2:7" ht="14.25">
      <c r="B23" s="7"/>
      <c r="D23" s="3"/>
      <c r="G23" s="12"/>
    </row>
    <row r="24" spans="2:7" ht="14.25">
      <c r="B24" s="7"/>
      <c r="D24" s="3"/>
      <c r="G24" s="12"/>
    </row>
    <row r="25" spans="2:7" ht="14.25">
      <c r="B25" s="7"/>
      <c r="D25" s="3"/>
      <c r="G25" s="12"/>
    </row>
    <row r="26" spans="2:7" ht="14.25">
      <c r="B26" s="7"/>
      <c r="D26" s="3"/>
      <c r="G26" s="5" t="s">
        <v>23</v>
      </c>
    </row>
    <row r="27" spans="2:7" ht="14.25">
      <c r="B27" s="7"/>
      <c r="D27" s="3"/>
      <c r="G27" s="5" t="s">
        <v>23</v>
      </c>
    </row>
    <row r="28" spans="2:7" ht="14.25">
      <c r="B28" s="7"/>
      <c r="D28" s="3"/>
      <c r="G28" s="5" t="s">
        <v>23</v>
      </c>
    </row>
    <row r="29" ht="12.75">
      <c r="G29" s="5" t="s">
        <v>23</v>
      </c>
    </row>
  </sheetData>
  <sheetProtection/>
  <printOptions/>
  <pageMargins left="0.984251968503937" right="0.1968503937007874" top="0.7874015748031497" bottom="0.7874015748031497" header="0.1968503937007874" footer="0.1968503937007874"/>
  <pageSetup horizontalDpi="300" verticalDpi="300" orientation="portrait" paperSize="9" r:id="rId1"/>
  <headerFooter alignWithMargins="0">
    <oddHeader>&amp;L&amp;9&amp;F&amp;R&amp;9&amp;A</oddHeader>
    <oddFooter>&amp;L&amp;9&amp;D&amp;C&amp;9PROJEKT-INVEST d.o.o.&amp;R&amp;9&amp;P</oddFooter>
  </headerFooter>
</worksheet>
</file>

<file path=xl/worksheets/sheet16.xml><?xml version="1.0" encoding="utf-8"?>
<worksheet xmlns="http://schemas.openxmlformats.org/spreadsheetml/2006/main" xmlns:r="http://schemas.openxmlformats.org/officeDocument/2006/relationships">
  <dimension ref="A1:G49"/>
  <sheetViews>
    <sheetView zoomScale="130" zoomScaleNormal="130" zoomScalePageLayoutView="0" workbookViewId="0" topLeftCell="A41">
      <selection activeCell="C52" sqref="C52"/>
    </sheetView>
  </sheetViews>
  <sheetFormatPr defaultColWidth="9" defaultRowHeight="14.25"/>
  <cols>
    <col min="1" max="1" width="4.5" style="208" customWidth="1"/>
    <col min="2" max="2" width="35.09765625" style="50" customWidth="1"/>
    <col min="3" max="3" width="5" style="214" customWidth="1"/>
    <col min="4" max="4" width="2.19921875" style="50" customWidth="1"/>
    <col min="5" max="5" width="7.69921875" style="215" customWidth="1"/>
    <col min="6" max="6" width="10.09765625" style="215" customWidth="1"/>
    <col min="7" max="7" width="15.09765625" style="216" customWidth="1"/>
    <col min="8" max="16384" width="9" style="50" customWidth="1"/>
  </cols>
  <sheetData>
    <row r="1" spans="1:2" ht="15">
      <c r="A1" s="40"/>
      <c r="B1" s="38"/>
    </row>
    <row r="2" spans="1:2" ht="15.75">
      <c r="A2" s="40" t="s">
        <v>32</v>
      </c>
      <c r="B2" s="53" t="s">
        <v>27</v>
      </c>
    </row>
    <row r="3" spans="1:7" ht="12.75">
      <c r="A3" s="252" t="s">
        <v>30</v>
      </c>
      <c r="B3" s="252"/>
      <c r="C3" s="252"/>
      <c r="D3" s="252"/>
      <c r="E3" s="252"/>
      <c r="F3" s="252"/>
      <c r="G3" s="252"/>
    </row>
    <row r="4" spans="1:7" ht="12.75">
      <c r="A4" s="206"/>
      <c r="B4" s="206"/>
      <c r="C4" s="206"/>
      <c r="D4" s="206"/>
      <c r="E4" s="206"/>
      <c r="F4" s="206"/>
      <c r="G4" s="206"/>
    </row>
    <row r="5" spans="1:7" ht="12.75">
      <c r="A5" s="206"/>
      <c r="B5" s="257" t="s">
        <v>47</v>
      </c>
      <c r="C5" s="257"/>
      <c r="D5" s="257"/>
      <c r="E5" s="257"/>
      <c r="F5" s="206"/>
      <c r="G5" s="206"/>
    </row>
    <row r="6" spans="1:7" ht="30" customHeight="1">
      <c r="A6" s="206"/>
      <c r="B6" s="257" t="s">
        <v>275</v>
      </c>
      <c r="C6" s="257"/>
      <c r="D6" s="257"/>
      <c r="E6" s="257"/>
      <c r="F6" s="206"/>
      <c r="G6" s="206"/>
    </row>
    <row r="7" spans="1:7" ht="31.5" customHeight="1">
      <c r="A7" s="206"/>
      <c r="B7" s="257" t="s">
        <v>276</v>
      </c>
      <c r="C7" s="257"/>
      <c r="D7" s="257"/>
      <c r="E7" s="257"/>
      <c r="F7" s="206"/>
      <c r="G7" s="206"/>
    </row>
    <row r="8" spans="1:7" ht="12.75">
      <c r="A8" s="206"/>
      <c r="B8" s="257" t="s">
        <v>48</v>
      </c>
      <c r="C8" s="257"/>
      <c r="D8" s="257"/>
      <c r="E8" s="257"/>
      <c r="F8" s="206"/>
      <c r="G8" s="206"/>
    </row>
    <row r="9" spans="1:7" ht="42" customHeight="1">
      <c r="A9" s="206"/>
      <c r="B9" s="206" t="s">
        <v>213</v>
      </c>
      <c r="C9" s="206"/>
      <c r="D9" s="206"/>
      <c r="E9" s="206"/>
      <c r="F9" s="206"/>
      <c r="G9" s="206"/>
    </row>
    <row r="10" spans="1:7" ht="12.75">
      <c r="A10" s="206"/>
      <c r="B10" s="250" t="s">
        <v>50</v>
      </c>
      <c r="C10" s="250"/>
      <c r="D10" s="250"/>
      <c r="E10" s="250"/>
      <c r="F10" s="206"/>
      <c r="G10" s="206"/>
    </row>
    <row r="11" spans="1:7" ht="25.5">
      <c r="A11" s="206"/>
      <c r="B11" s="205" t="s">
        <v>277</v>
      </c>
      <c r="C11" s="205"/>
      <c r="D11" s="205"/>
      <c r="E11" s="205"/>
      <c r="F11" s="206"/>
      <c r="G11" s="206"/>
    </row>
    <row r="12" spans="1:7" ht="12.75">
      <c r="A12" s="206"/>
      <c r="B12" s="206"/>
      <c r="C12" s="206"/>
      <c r="D12" s="206"/>
      <c r="E12" s="206"/>
      <c r="F12" s="206"/>
      <c r="G12" s="206"/>
    </row>
    <row r="13" spans="1:7" s="221" customFormat="1" ht="65.25" customHeight="1">
      <c r="A13" s="217" t="s">
        <v>44</v>
      </c>
      <c r="B13" s="206" t="s">
        <v>278</v>
      </c>
      <c r="C13" s="214" t="s">
        <v>21</v>
      </c>
      <c r="D13" s="218">
        <v>2</v>
      </c>
      <c r="E13" s="215">
        <f>SUM(57.7*2+2.35*4+4.8*4+(2.2*4.7*2+3.5*4+3.5*4.7)+7+12)</f>
        <v>214.13</v>
      </c>
      <c r="F13" s="219"/>
      <c r="G13" s="220"/>
    </row>
    <row r="14" spans="1:7" s="221" customFormat="1" ht="15" customHeight="1">
      <c r="A14" s="222"/>
      <c r="B14" s="50"/>
      <c r="C14" s="214"/>
      <c r="E14" s="214"/>
      <c r="F14" s="219"/>
      <c r="G14" s="220"/>
    </row>
    <row r="15" spans="1:7" s="221" customFormat="1" ht="15" customHeight="1">
      <c r="A15" s="222"/>
      <c r="B15" s="50"/>
      <c r="C15" s="214"/>
      <c r="E15" s="214"/>
      <c r="F15" s="219"/>
      <c r="G15" s="220"/>
    </row>
    <row r="16" spans="1:7" s="221" customFormat="1" ht="51">
      <c r="A16" s="217" t="s">
        <v>45</v>
      </c>
      <c r="B16" s="206" t="s">
        <v>279</v>
      </c>
      <c r="C16" s="214" t="s">
        <v>21</v>
      </c>
      <c r="D16" s="218">
        <v>2</v>
      </c>
      <c r="E16" s="215">
        <f>SUM((12.5*3)*2)</f>
        <v>75</v>
      </c>
      <c r="F16" s="219"/>
      <c r="G16" s="220"/>
    </row>
    <row r="17" spans="1:7" s="221" customFormat="1" ht="15" customHeight="1">
      <c r="A17" s="222"/>
      <c r="B17" s="50"/>
      <c r="C17" s="214"/>
      <c r="E17" s="214"/>
      <c r="F17" s="219"/>
      <c r="G17" s="220"/>
    </row>
    <row r="18" spans="1:7" s="221" customFormat="1" ht="15" customHeight="1">
      <c r="A18" s="222"/>
      <c r="B18" s="50"/>
      <c r="C18" s="214"/>
      <c r="E18" s="214"/>
      <c r="F18" s="219"/>
      <c r="G18" s="220"/>
    </row>
    <row r="19" spans="1:6" s="221" customFormat="1" ht="99" customHeight="1">
      <c r="A19" s="217" t="s">
        <v>81</v>
      </c>
      <c r="B19" s="206" t="s">
        <v>280</v>
      </c>
      <c r="C19" s="214" t="s">
        <v>21</v>
      </c>
      <c r="D19" s="218">
        <v>2</v>
      </c>
      <c r="E19" s="215">
        <v>740</v>
      </c>
      <c r="F19" s="219"/>
    </row>
    <row r="20" spans="1:6" s="221" customFormat="1" ht="14.25">
      <c r="A20" s="217"/>
      <c r="B20" s="206"/>
      <c r="C20" s="214"/>
      <c r="D20" s="218"/>
      <c r="E20" s="215"/>
      <c r="F20" s="219"/>
    </row>
    <row r="21" spans="1:6" s="221" customFormat="1" ht="14.25">
      <c r="A21" s="217"/>
      <c r="B21" s="206"/>
      <c r="C21" s="214"/>
      <c r="D21" s="218"/>
      <c r="E21" s="215"/>
      <c r="F21" s="219"/>
    </row>
    <row r="22" spans="1:6" s="221" customFormat="1" ht="45.75" customHeight="1">
      <c r="A22" s="217" t="s">
        <v>116</v>
      </c>
      <c r="B22" s="206" t="s">
        <v>281</v>
      </c>
      <c r="C22" s="214" t="s">
        <v>21</v>
      </c>
      <c r="D22" s="218">
        <v>2</v>
      </c>
      <c r="E22" s="215">
        <v>400</v>
      </c>
      <c r="F22" s="219"/>
    </row>
    <row r="23" spans="1:6" s="221" customFormat="1" ht="14.25">
      <c r="A23" s="217"/>
      <c r="B23" s="206"/>
      <c r="C23" s="214"/>
      <c r="D23" s="218"/>
      <c r="E23" s="215"/>
      <c r="F23" s="219"/>
    </row>
    <row r="24" spans="1:6" s="221" customFormat="1" ht="14.25">
      <c r="A24" s="217"/>
      <c r="B24" s="206"/>
      <c r="C24" s="214"/>
      <c r="D24" s="218"/>
      <c r="E24" s="215"/>
      <c r="F24" s="219"/>
    </row>
    <row r="25" spans="1:6" s="221" customFormat="1" ht="38.25">
      <c r="A25" s="217" t="s">
        <v>117</v>
      </c>
      <c r="B25" s="206" t="s">
        <v>282</v>
      </c>
      <c r="C25" s="214" t="s">
        <v>21</v>
      </c>
      <c r="D25" s="218">
        <v>2</v>
      </c>
      <c r="E25" s="215">
        <v>400</v>
      </c>
      <c r="F25" s="219"/>
    </row>
    <row r="26" spans="1:6" s="221" customFormat="1" ht="14.25">
      <c r="A26" s="217"/>
      <c r="B26" s="206"/>
      <c r="C26" s="214"/>
      <c r="D26" s="218"/>
      <c r="E26" s="215"/>
      <c r="F26" s="219"/>
    </row>
    <row r="27" spans="1:6" s="221" customFormat="1" ht="14.25">
      <c r="A27" s="217"/>
      <c r="B27" s="206"/>
      <c r="C27" s="214"/>
      <c r="D27" s="218"/>
      <c r="E27" s="215"/>
      <c r="F27" s="219"/>
    </row>
    <row r="28" spans="1:5" s="221" customFormat="1" ht="56.25" customHeight="1">
      <c r="A28" s="217" t="s">
        <v>283</v>
      </c>
      <c r="B28" s="234" t="s">
        <v>329</v>
      </c>
      <c r="C28" s="224" t="s">
        <v>21</v>
      </c>
      <c r="D28" s="225">
        <v>2</v>
      </c>
      <c r="E28" s="226">
        <f>(48+102+48+14)*1.05</f>
        <v>222.60000000000002</v>
      </c>
    </row>
    <row r="29" spans="1:5" s="221" customFormat="1" ht="14.25">
      <c r="A29" s="217"/>
      <c r="B29" s="206"/>
      <c r="C29" s="218"/>
      <c r="D29" s="215"/>
      <c r="E29" s="219"/>
    </row>
    <row r="30" spans="1:5" s="221" customFormat="1" ht="14.25">
      <c r="A30" s="217"/>
      <c r="B30" s="206"/>
      <c r="C30" s="218"/>
      <c r="D30" s="215"/>
      <c r="E30" s="219"/>
    </row>
    <row r="31" spans="1:5" s="221" customFormat="1" ht="57">
      <c r="A31" s="217" t="s">
        <v>284</v>
      </c>
      <c r="B31" s="223" t="s">
        <v>285</v>
      </c>
      <c r="C31" s="224" t="s">
        <v>29</v>
      </c>
      <c r="D31" s="225"/>
      <c r="E31" s="226">
        <v>17</v>
      </c>
    </row>
    <row r="32" spans="1:5" s="221" customFormat="1" ht="15" customHeight="1">
      <c r="A32" s="217"/>
      <c r="B32" s="223"/>
      <c r="C32" s="224"/>
      <c r="D32" s="225"/>
      <c r="E32" s="226"/>
    </row>
    <row r="33" spans="1:5" s="221" customFormat="1" ht="15" customHeight="1">
      <c r="A33" s="217"/>
      <c r="B33" s="223"/>
      <c r="C33" s="224"/>
      <c r="D33" s="225"/>
      <c r="E33" s="226"/>
    </row>
    <row r="34" spans="1:5" s="221" customFormat="1" ht="28.5">
      <c r="A34" s="217" t="s">
        <v>286</v>
      </c>
      <c r="B34" s="223" t="s">
        <v>287</v>
      </c>
      <c r="C34" s="224"/>
      <c r="D34" s="225"/>
      <c r="E34" s="226"/>
    </row>
    <row r="35" spans="1:5" s="221" customFormat="1" ht="16.5">
      <c r="A35" s="217"/>
      <c r="B35" s="223" t="s">
        <v>128</v>
      </c>
      <c r="C35" s="224" t="s">
        <v>29</v>
      </c>
      <c r="D35" s="225"/>
      <c r="E35" s="226">
        <v>4</v>
      </c>
    </row>
    <row r="36" spans="1:5" s="221" customFormat="1" ht="16.5">
      <c r="A36" s="217"/>
      <c r="B36" s="223" t="s">
        <v>127</v>
      </c>
      <c r="C36" s="224" t="s">
        <v>29</v>
      </c>
      <c r="D36" s="225"/>
      <c r="E36" s="226">
        <v>4</v>
      </c>
    </row>
    <row r="37" spans="1:5" s="221" customFormat="1" ht="15" customHeight="1">
      <c r="A37" s="217"/>
      <c r="B37" s="223"/>
      <c r="C37" s="224"/>
      <c r="D37" s="225"/>
      <c r="E37" s="226"/>
    </row>
    <row r="38" spans="1:5" s="221" customFormat="1" ht="15" customHeight="1">
      <c r="A38" s="217"/>
      <c r="B38" s="223"/>
      <c r="C38" s="224"/>
      <c r="D38" s="225"/>
      <c r="E38" s="226"/>
    </row>
    <row r="39" spans="1:5" s="221" customFormat="1" ht="74.25" customHeight="1">
      <c r="A39" s="217" t="s">
        <v>288</v>
      </c>
      <c r="B39" s="234" t="s">
        <v>290</v>
      </c>
      <c r="C39" s="224" t="s">
        <v>29</v>
      </c>
      <c r="D39" s="225"/>
      <c r="E39" s="226">
        <v>3</v>
      </c>
    </row>
    <row r="40" spans="1:6" s="221" customFormat="1" ht="15" customHeight="1">
      <c r="A40" s="217"/>
      <c r="B40" s="223"/>
      <c r="C40" s="226"/>
      <c r="D40" s="224"/>
      <c r="E40" s="225"/>
      <c r="F40" s="226"/>
    </row>
    <row r="41" spans="1:6" s="221" customFormat="1" ht="15" customHeight="1">
      <c r="A41" s="217"/>
      <c r="B41" s="223"/>
      <c r="C41" s="226"/>
      <c r="D41" s="224"/>
      <c r="E41" s="225"/>
      <c r="F41" s="226"/>
    </row>
    <row r="42" spans="1:6" s="221" customFormat="1" ht="82.5" customHeight="1">
      <c r="A42" s="217" t="s">
        <v>289</v>
      </c>
      <c r="B42" s="234" t="s">
        <v>330</v>
      </c>
      <c r="C42" s="214" t="s">
        <v>115</v>
      </c>
      <c r="D42" s="218"/>
      <c r="E42" s="215">
        <f>(101+39+48+12)*1.05</f>
        <v>210</v>
      </c>
      <c r="F42" s="219"/>
    </row>
    <row r="43" spans="1:6" s="221" customFormat="1" ht="14.25">
      <c r="A43" s="217"/>
      <c r="B43" s="206"/>
      <c r="C43" s="214"/>
      <c r="D43" s="218"/>
      <c r="E43" s="215"/>
      <c r="F43" s="219"/>
    </row>
    <row r="44" spans="1:6" s="221" customFormat="1" ht="14.25">
      <c r="A44" s="217"/>
      <c r="B44" s="206"/>
      <c r="C44" s="214"/>
      <c r="D44" s="218"/>
      <c r="E44" s="215"/>
      <c r="F44" s="219"/>
    </row>
    <row r="45" spans="1:7" ht="18.75">
      <c r="A45" s="227"/>
      <c r="B45" s="228" t="s">
        <v>27</v>
      </c>
      <c r="C45" s="229"/>
      <c r="D45" s="230"/>
      <c r="E45" s="231"/>
      <c r="F45" s="232"/>
      <c r="G45" s="233"/>
    </row>
    <row r="49" spans="3:7" ht="12.75">
      <c r="C49" s="50"/>
      <c r="E49" s="50"/>
      <c r="F49" s="50"/>
      <c r="G49" s="50"/>
    </row>
  </sheetData>
  <sheetProtection/>
  <mergeCells count="6">
    <mergeCell ref="A3:G3"/>
    <mergeCell ref="B10:E10"/>
    <mergeCell ref="B5:E5"/>
    <mergeCell ref="B6:E6"/>
    <mergeCell ref="B7:E7"/>
    <mergeCell ref="B8:E8"/>
  </mergeCells>
  <printOptions/>
  <pageMargins left="0.984251968503937" right="0.1968503937007874" top="0.7874015748031497" bottom="0.7874015748031497" header="0.1968503937007874" footer="0.1968503937007874"/>
  <pageSetup horizontalDpi="300" verticalDpi="300" orientation="portrait" paperSize="9" r:id="rId1"/>
  <headerFooter alignWithMargins="0">
    <oddHeader>&amp;L&amp;9&amp;F&amp;R&amp;9&amp;A</oddHeader>
    <oddFooter>&amp;L&amp;9&amp;D&amp;C&amp;9PROJEKT-INVEST d.o.o.&amp;R&amp;9&amp;P</oddFooter>
  </headerFooter>
</worksheet>
</file>

<file path=xl/worksheets/sheet17.xml><?xml version="1.0" encoding="utf-8"?>
<worksheet xmlns="http://schemas.openxmlformats.org/spreadsheetml/2006/main" xmlns:r="http://schemas.openxmlformats.org/officeDocument/2006/relationships">
  <dimension ref="A1:G26"/>
  <sheetViews>
    <sheetView zoomScale="130" zoomScaleNormal="130" zoomScalePageLayoutView="0" workbookViewId="0" topLeftCell="A11">
      <selection activeCell="B25" sqref="B25"/>
    </sheetView>
  </sheetViews>
  <sheetFormatPr defaultColWidth="9" defaultRowHeight="14.25"/>
  <cols>
    <col min="1" max="1" width="5.19921875" style="9" customWidth="1"/>
    <col min="2" max="2" width="35.09765625" style="1" customWidth="1"/>
    <col min="3" max="3" width="5" style="8" customWidth="1"/>
    <col min="4" max="4" width="2.19921875" style="1" customWidth="1"/>
    <col min="5" max="5" width="6.69921875" style="4" customWidth="1"/>
    <col min="6" max="6" width="10.09765625" style="4" customWidth="1"/>
    <col min="7" max="7" width="14.8984375" style="5" customWidth="1"/>
    <col min="8" max="16384" width="9" style="1" customWidth="1"/>
  </cols>
  <sheetData>
    <row r="1" ht="12.75">
      <c r="C1" s="4"/>
    </row>
    <row r="2" spans="1:5" ht="15.75">
      <c r="A2" s="40" t="s">
        <v>291</v>
      </c>
      <c r="B2" s="10" t="s">
        <v>53</v>
      </c>
      <c r="E2" s="65"/>
    </row>
    <row r="3" spans="1:5" ht="15.75">
      <c r="A3" s="40"/>
      <c r="B3" s="10"/>
      <c r="E3" s="65"/>
    </row>
    <row r="4" ht="25.5">
      <c r="B4" s="34" t="s">
        <v>297</v>
      </c>
    </row>
    <row r="5" ht="12.75">
      <c r="B5" s="34"/>
    </row>
    <row r="6" spans="1:4" ht="63.75" customHeight="1">
      <c r="A6" s="94" t="s">
        <v>292</v>
      </c>
      <c r="B6" s="34" t="s">
        <v>298</v>
      </c>
      <c r="D6" s="57"/>
    </row>
    <row r="7" spans="1:5" ht="12.75">
      <c r="A7" s="94"/>
      <c r="B7" s="34"/>
      <c r="C7" s="8" t="s">
        <v>29</v>
      </c>
      <c r="D7" s="57"/>
      <c r="E7" s="4">
        <v>5</v>
      </c>
    </row>
    <row r="8" spans="1:4" ht="15" customHeight="1">
      <c r="A8" s="95"/>
      <c r="B8" s="34"/>
      <c r="D8" s="57"/>
    </row>
    <row r="9" spans="1:4" ht="57" customHeight="1">
      <c r="A9" s="94" t="s">
        <v>293</v>
      </c>
      <c r="B9" s="34" t="s">
        <v>54</v>
      </c>
      <c r="D9" s="57"/>
    </row>
    <row r="10" spans="1:5" ht="13.5" customHeight="1">
      <c r="A10" s="95"/>
      <c r="B10" s="34"/>
      <c r="C10" s="8" t="s">
        <v>4</v>
      </c>
      <c r="D10" s="57"/>
      <c r="E10" s="4">
        <v>6</v>
      </c>
    </row>
    <row r="11" spans="1:4" ht="15.75" customHeight="1">
      <c r="A11" s="95"/>
      <c r="B11" s="34"/>
      <c r="D11" s="57"/>
    </row>
    <row r="12" spans="1:4" ht="54" customHeight="1">
      <c r="A12" s="94" t="s">
        <v>294</v>
      </c>
      <c r="B12" s="34" t="s">
        <v>55</v>
      </c>
      <c r="D12" s="57"/>
    </row>
    <row r="13" spans="1:5" ht="15.75" customHeight="1">
      <c r="A13" s="95"/>
      <c r="B13" s="34"/>
      <c r="C13" s="8" t="s">
        <v>4</v>
      </c>
      <c r="D13" s="57"/>
      <c r="E13" s="4">
        <v>6</v>
      </c>
    </row>
    <row r="14" spans="1:4" ht="12.75">
      <c r="A14" s="94"/>
      <c r="B14" s="34"/>
      <c r="D14" s="57"/>
    </row>
    <row r="15" spans="1:4" ht="25.5">
      <c r="A15" s="94" t="s">
        <v>295</v>
      </c>
      <c r="B15" s="34" t="s">
        <v>59</v>
      </c>
      <c r="D15" s="57"/>
    </row>
    <row r="16" spans="1:5" ht="15.75" customHeight="1">
      <c r="A16" s="95"/>
      <c r="B16" s="100" t="s">
        <v>56</v>
      </c>
      <c r="C16" s="8" t="s">
        <v>4</v>
      </c>
      <c r="D16" s="57"/>
      <c r="E16" s="4">
        <v>6</v>
      </c>
    </row>
    <row r="17" spans="1:5" ht="12.75">
      <c r="A17" s="94"/>
      <c r="B17" s="100" t="s">
        <v>57</v>
      </c>
      <c r="C17" s="8" t="s">
        <v>4</v>
      </c>
      <c r="D17" s="57"/>
      <c r="E17" s="4">
        <v>1</v>
      </c>
    </row>
    <row r="18" spans="1:5" ht="12.75">
      <c r="A18" s="94"/>
      <c r="B18" s="100" t="s">
        <v>58</v>
      </c>
      <c r="C18" s="8" t="s">
        <v>4</v>
      </c>
      <c r="D18" s="57"/>
      <c r="E18" s="4">
        <v>2</v>
      </c>
    </row>
    <row r="19" spans="1:4" ht="12.75">
      <c r="A19" s="94"/>
      <c r="D19" s="57"/>
    </row>
    <row r="20" spans="1:4" ht="12.75">
      <c r="A20" s="94"/>
      <c r="D20" s="57"/>
    </row>
    <row r="21" spans="1:4" ht="25.5">
      <c r="A21" s="94" t="s">
        <v>296</v>
      </c>
      <c r="B21" s="34" t="s">
        <v>82</v>
      </c>
      <c r="D21" s="57"/>
    </row>
    <row r="22" spans="1:5" ht="15" customHeight="1">
      <c r="A22" s="95"/>
      <c r="B22" s="100"/>
      <c r="C22" s="8" t="s">
        <v>4</v>
      </c>
      <c r="D22" s="57"/>
      <c r="E22" s="4">
        <v>3</v>
      </c>
    </row>
    <row r="23" spans="1:4" ht="15" customHeight="1">
      <c r="A23" s="95"/>
      <c r="B23" s="100"/>
      <c r="D23" s="57"/>
    </row>
    <row r="24" spans="1:7" s="10" customFormat="1" ht="18.75">
      <c r="A24" s="15"/>
      <c r="B24" s="46" t="s">
        <v>299</v>
      </c>
      <c r="C24" s="42"/>
      <c r="D24" s="43"/>
      <c r="E24" s="44"/>
      <c r="F24" s="45"/>
      <c r="G24" s="47"/>
    </row>
    <row r="25" spans="2:4" ht="14.25">
      <c r="B25" s="7"/>
      <c r="D25" s="3"/>
    </row>
    <row r="26" spans="2:4" ht="14.25">
      <c r="B26" s="7"/>
      <c r="D26" s="3"/>
    </row>
    <row r="27" ht="15.75" customHeight="1"/>
    <row r="28" ht="16.5" customHeight="1"/>
  </sheetData>
  <sheetProtection/>
  <printOptions/>
  <pageMargins left="0.984251968503937" right="0.1968503937007874" top="0.7874015748031497" bottom="0.7874015748031497" header="0.1968503937007874" footer="0.1968503937007874"/>
  <pageSetup horizontalDpi="300" verticalDpi="300" orientation="portrait" paperSize="9" r:id="rId1"/>
  <headerFooter alignWithMargins="0">
    <oddHeader>&amp;L&amp;9&amp;F&amp;R&amp;9&amp;A</oddHeader>
    <oddFooter>&amp;L&amp;9&amp;D&amp;C&amp;9PROJEKT-INVEST d.o.o.&amp;R&amp;9&amp;P</oddFooter>
  </headerFooter>
</worksheet>
</file>

<file path=xl/worksheets/sheet18.xml><?xml version="1.0" encoding="utf-8"?>
<worksheet xmlns="http://schemas.openxmlformats.org/spreadsheetml/2006/main" xmlns:r="http://schemas.openxmlformats.org/officeDocument/2006/relationships">
  <dimension ref="A1:J44"/>
  <sheetViews>
    <sheetView zoomScale="130" zoomScaleNormal="130" zoomScalePageLayoutView="0" workbookViewId="0" topLeftCell="A31">
      <selection activeCell="B43" sqref="B43"/>
    </sheetView>
  </sheetViews>
  <sheetFormatPr defaultColWidth="9" defaultRowHeight="14.25"/>
  <cols>
    <col min="1" max="1" width="4.5" style="9" customWidth="1"/>
    <col min="2" max="2" width="35.09765625" style="1" customWidth="1"/>
    <col min="3" max="3" width="5" style="8" customWidth="1"/>
    <col min="4" max="4" width="2.19921875" style="1" customWidth="1"/>
    <col min="5" max="5" width="6.69921875" style="4" customWidth="1"/>
    <col min="6" max="6" width="10.09765625" style="4" customWidth="1"/>
    <col min="7" max="7" width="15.69921875" style="5" customWidth="1"/>
    <col min="8" max="16384" width="9" style="1" customWidth="1"/>
  </cols>
  <sheetData>
    <row r="1" spans="1:7" ht="15.75">
      <c r="A1" s="69"/>
      <c r="B1" s="10" t="s">
        <v>300</v>
      </c>
      <c r="C1" s="69"/>
      <c r="D1" s="69"/>
      <c r="E1" s="69"/>
      <c r="F1" s="69"/>
      <c r="G1" s="69"/>
    </row>
    <row r="2" spans="1:7" ht="15.75">
      <c r="A2" s="69"/>
      <c r="B2" s="10"/>
      <c r="C2" s="69"/>
      <c r="D2" s="69"/>
      <c r="E2" s="69"/>
      <c r="F2" s="69"/>
      <c r="G2" s="69"/>
    </row>
    <row r="3" spans="1:7" ht="15">
      <c r="A3" s="69"/>
      <c r="B3" s="106" t="s">
        <v>71</v>
      </c>
      <c r="G3" s="69"/>
    </row>
    <row r="4" spans="1:7" ht="21" customHeight="1">
      <c r="A4" s="69"/>
      <c r="B4" s="242" t="s">
        <v>83</v>
      </c>
      <c r="C4" s="242"/>
      <c r="D4" s="242"/>
      <c r="E4" s="242"/>
      <c r="F4" s="242"/>
      <c r="G4" s="69"/>
    </row>
    <row r="5" spans="1:7" ht="15">
      <c r="A5" s="69"/>
      <c r="B5" s="242" t="s">
        <v>73</v>
      </c>
      <c r="C5" s="253"/>
      <c r="D5" s="253"/>
      <c r="E5" s="253"/>
      <c r="F5" s="244"/>
      <c r="G5" s="69"/>
    </row>
    <row r="6" spans="1:7" ht="43.5" customHeight="1">
      <c r="A6" s="69"/>
      <c r="B6" s="242" t="s">
        <v>74</v>
      </c>
      <c r="C6" s="244"/>
      <c r="D6" s="244"/>
      <c r="E6" s="244"/>
      <c r="F6" s="244"/>
      <c r="G6" s="69"/>
    </row>
    <row r="7" spans="1:7" ht="15">
      <c r="A7" s="40"/>
      <c r="B7" s="104"/>
      <c r="C7" s="102"/>
      <c r="D7" s="102"/>
      <c r="E7" s="102"/>
      <c r="F7" s="102"/>
      <c r="G7" s="39"/>
    </row>
    <row r="8" spans="1:7" ht="15">
      <c r="A8" s="40"/>
      <c r="B8" s="104"/>
      <c r="C8" s="102"/>
      <c r="D8" s="102"/>
      <c r="E8" s="102"/>
      <c r="F8" s="102"/>
      <c r="G8" s="39"/>
    </row>
    <row r="9" spans="1:2" ht="15.75">
      <c r="A9" s="41">
        <v>1</v>
      </c>
      <c r="B9" s="10" t="s">
        <v>84</v>
      </c>
    </row>
    <row r="10" spans="1:7" ht="12.75">
      <c r="A10" s="49"/>
      <c r="B10" s="49"/>
      <c r="C10" s="49"/>
      <c r="D10" s="49"/>
      <c r="E10" s="49"/>
      <c r="F10" s="49"/>
      <c r="G10" s="49"/>
    </row>
    <row r="11" spans="1:5" ht="102" customHeight="1">
      <c r="A11" s="94" t="s">
        <v>69</v>
      </c>
      <c r="B11" s="34" t="s">
        <v>301</v>
      </c>
      <c r="C11" s="1"/>
      <c r="E11" s="1"/>
    </row>
    <row r="12" spans="1:5" ht="15.75" customHeight="1">
      <c r="A12" s="72"/>
      <c r="B12" s="7"/>
      <c r="C12" s="8" t="s">
        <v>215</v>
      </c>
      <c r="D12" s="82"/>
      <c r="E12" s="4">
        <v>2</v>
      </c>
    </row>
    <row r="13" spans="1:4" ht="15.75" customHeight="1">
      <c r="A13" s="41">
        <v>2</v>
      </c>
      <c r="B13" s="10" t="s">
        <v>85</v>
      </c>
      <c r="D13" s="82"/>
    </row>
    <row r="14" spans="1:4" ht="15.75" customHeight="1">
      <c r="A14" s="72"/>
      <c r="B14" s="7"/>
      <c r="D14" s="82"/>
    </row>
    <row r="15" spans="1:5" ht="58.5" customHeight="1">
      <c r="A15" s="94" t="s">
        <v>1</v>
      </c>
      <c r="B15" s="34" t="s">
        <v>302</v>
      </c>
      <c r="C15" s="1"/>
      <c r="E15" s="1"/>
    </row>
    <row r="16" spans="1:5" ht="15.75" customHeight="1">
      <c r="A16" s="72"/>
      <c r="B16" s="7"/>
      <c r="C16" s="8" t="s">
        <v>86</v>
      </c>
      <c r="D16" s="82"/>
      <c r="E16" s="4">
        <v>15</v>
      </c>
    </row>
    <row r="17" spans="1:4" ht="15.75" customHeight="1">
      <c r="A17" s="72"/>
      <c r="B17" s="7"/>
      <c r="D17" s="82"/>
    </row>
    <row r="18" spans="1:5" ht="12.75">
      <c r="A18" s="94" t="s">
        <v>2</v>
      </c>
      <c r="B18" s="7" t="s">
        <v>87</v>
      </c>
      <c r="C18" s="1"/>
      <c r="E18" s="1"/>
    </row>
    <row r="19" spans="1:5" ht="15.75" customHeight="1">
      <c r="A19" s="72"/>
      <c r="B19" s="7"/>
      <c r="C19" s="8" t="s">
        <v>29</v>
      </c>
      <c r="D19" s="82"/>
      <c r="E19" s="4">
        <v>2</v>
      </c>
    </row>
    <row r="20" spans="1:4" ht="15.75" customHeight="1">
      <c r="A20" s="72"/>
      <c r="B20" s="7"/>
      <c r="D20" s="82"/>
    </row>
    <row r="21" spans="1:5" ht="25.5">
      <c r="A21" s="94" t="s">
        <v>75</v>
      </c>
      <c r="B21" s="7" t="s">
        <v>88</v>
      </c>
      <c r="C21" s="1"/>
      <c r="E21" s="1"/>
    </row>
    <row r="22" spans="1:5" ht="15.75" customHeight="1">
      <c r="A22" s="72"/>
      <c r="B22" s="7"/>
      <c r="C22" s="8" t="s">
        <v>29</v>
      </c>
      <c r="D22" s="82"/>
      <c r="E22" s="4">
        <v>1</v>
      </c>
    </row>
    <row r="23" spans="1:4" ht="15.75" customHeight="1">
      <c r="A23" s="72"/>
      <c r="B23" s="7"/>
      <c r="D23" s="82"/>
    </row>
    <row r="24" spans="1:4" ht="15.75" customHeight="1">
      <c r="A24" s="41">
        <v>3</v>
      </c>
      <c r="B24" s="10" t="s">
        <v>89</v>
      </c>
      <c r="D24" s="82"/>
    </row>
    <row r="25" spans="1:4" ht="15.75" customHeight="1">
      <c r="A25" s="41"/>
      <c r="B25" s="10"/>
      <c r="D25" s="82"/>
    </row>
    <row r="26" spans="1:5" ht="63.75">
      <c r="A26" s="94" t="s">
        <v>36</v>
      </c>
      <c r="B26" s="7" t="s">
        <v>90</v>
      </c>
      <c r="C26" s="1"/>
      <c r="E26" s="1"/>
    </row>
    <row r="27" spans="1:5" ht="15.75" customHeight="1">
      <c r="A27" s="72"/>
      <c r="B27" s="7"/>
      <c r="C27" s="8" t="s">
        <v>29</v>
      </c>
      <c r="D27" s="82"/>
      <c r="E27" s="4">
        <v>1</v>
      </c>
    </row>
    <row r="28" spans="1:4" ht="15.75" customHeight="1">
      <c r="A28" s="41">
        <v>4</v>
      </c>
      <c r="B28" s="10" t="s">
        <v>91</v>
      </c>
      <c r="D28" s="82"/>
    </row>
    <row r="29" spans="1:4" ht="15.75" customHeight="1">
      <c r="A29" s="72"/>
      <c r="B29" s="7"/>
      <c r="D29" s="82"/>
    </row>
    <row r="30" spans="1:2" ht="41.25" customHeight="1">
      <c r="A30" s="94" t="s">
        <v>94</v>
      </c>
      <c r="B30" s="34" t="s">
        <v>303</v>
      </c>
    </row>
    <row r="31" spans="1:7" ht="16.5" customHeight="1">
      <c r="A31" s="72"/>
      <c r="B31" s="34" t="s">
        <v>92</v>
      </c>
      <c r="C31" s="8" t="s">
        <v>86</v>
      </c>
      <c r="D31" s="92"/>
      <c r="E31" s="4">
        <v>15</v>
      </c>
      <c r="F31" s="75"/>
      <c r="G31" s="76"/>
    </row>
    <row r="32" spans="1:7" ht="16.5" customHeight="1">
      <c r="A32" s="72"/>
      <c r="B32" s="34"/>
      <c r="D32" s="92"/>
      <c r="F32" s="75"/>
      <c r="G32" s="76"/>
    </row>
    <row r="33" spans="1:7" ht="16.5" customHeight="1">
      <c r="A33" s="41">
        <v>5</v>
      </c>
      <c r="B33" s="10" t="s">
        <v>93</v>
      </c>
      <c r="D33" s="82"/>
      <c r="F33" s="75"/>
      <c r="G33" s="76"/>
    </row>
    <row r="34" spans="1:7" ht="16.5" customHeight="1">
      <c r="A34" s="72"/>
      <c r="B34" s="7"/>
      <c r="D34" s="82"/>
      <c r="F34" s="75"/>
      <c r="G34" s="76"/>
    </row>
    <row r="35" spans="1:7" ht="30" customHeight="1">
      <c r="A35" s="94" t="s">
        <v>8</v>
      </c>
      <c r="B35" s="34" t="s">
        <v>95</v>
      </c>
      <c r="F35" s="75"/>
      <c r="G35" s="76"/>
    </row>
    <row r="36" spans="1:7" ht="16.5" customHeight="1">
      <c r="A36" s="72"/>
      <c r="B36" s="107"/>
      <c r="D36" s="92"/>
      <c r="E36" s="108">
        <v>0.03</v>
      </c>
      <c r="F36" s="75"/>
      <c r="G36" s="76"/>
    </row>
    <row r="37" spans="1:7" ht="16.5" customHeight="1">
      <c r="A37" s="94" t="s">
        <v>96</v>
      </c>
      <c r="B37" s="34" t="s">
        <v>97</v>
      </c>
      <c r="F37" s="75"/>
      <c r="G37" s="76"/>
    </row>
    <row r="38" spans="1:7" ht="16.5" customHeight="1">
      <c r="A38" s="72"/>
      <c r="B38" s="107"/>
      <c r="D38" s="92"/>
      <c r="E38" s="108">
        <v>0.03</v>
      </c>
      <c r="F38" s="75"/>
      <c r="G38" s="76"/>
    </row>
    <row r="39" spans="1:7" ht="14.25" customHeight="1">
      <c r="A39" s="72"/>
      <c r="B39" s="77"/>
      <c r="C39" s="74"/>
      <c r="D39" s="78"/>
      <c r="E39" s="109"/>
      <c r="F39" s="75"/>
      <c r="G39" s="76"/>
    </row>
    <row r="40" spans="1:7" s="10" customFormat="1" ht="18.75">
      <c r="A40" s="15"/>
      <c r="B40" s="46" t="s">
        <v>300</v>
      </c>
      <c r="C40" s="42"/>
      <c r="D40" s="43"/>
      <c r="E40" s="44"/>
      <c r="F40" s="45"/>
      <c r="G40" s="47"/>
    </row>
    <row r="41" spans="2:7" ht="14.25">
      <c r="B41" s="7"/>
      <c r="D41" s="3"/>
      <c r="G41" s="5" t="s">
        <v>23</v>
      </c>
    </row>
    <row r="42" spans="2:7" ht="14.25">
      <c r="B42" s="7"/>
      <c r="D42" s="3"/>
      <c r="G42" s="5" t="s">
        <v>23</v>
      </c>
    </row>
    <row r="44" ht="12.75">
      <c r="J44" s="1" t="s">
        <v>23</v>
      </c>
    </row>
  </sheetData>
  <sheetProtection/>
  <mergeCells count="3">
    <mergeCell ref="B6:F6"/>
    <mergeCell ref="B4:F4"/>
    <mergeCell ref="B5:F5"/>
  </mergeCells>
  <printOptions/>
  <pageMargins left="0.984251968503937" right="0.1968503937007874" top="0.7874015748031497" bottom="0.7874015748031497" header="0.1968503937007874" footer="0.1968503937007874"/>
  <pageSetup horizontalDpi="300" verticalDpi="300" orientation="portrait" paperSize="9" r:id="rId1"/>
  <headerFooter alignWithMargins="0">
    <oddHeader>&amp;L&amp;9&amp;F&amp;R&amp;9&amp;A</oddHeader>
    <oddFooter>&amp;L&amp;9&amp;D&amp;C&amp;9PROJEKT-INVEST d.o.o.&amp;R&amp;9&amp;P</oddFooter>
  </headerFooter>
</worksheet>
</file>

<file path=xl/worksheets/sheet19.xml><?xml version="1.0" encoding="utf-8"?>
<worksheet xmlns="http://schemas.openxmlformats.org/spreadsheetml/2006/main" xmlns:r="http://schemas.openxmlformats.org/officeDocument/2006/relationships">
  <dimension ref="A1:I28"/>
  <sheetViews>
    <sheetView zoomScale="130" zoomScaleNormal="130" zoomScalePageLayoutView="0" workbookViewId="0" topLeftCell="A1">
      <selection activeCell="G15" sqref="G15"/>
    </sheetView>
  </sheetViews>
  <sheetFormatPr defaultColWidth="9" defaultRowHeight="14.25"/>
  <cols>
    <col min="1" max="1" width="4.5" style="9" customWidth="1"/>
    <col min="2" max="2" width="35.09765625" style="1" customWidth="1"/>
    <col min="3" max="3" width="5" style="8" customWidth="1"/>
    <col min="4" max="4" width="2.19921875" style="1" customWidth="1"/>
    <col min="5" max="5" width="8.09765625" style="4" customWidth="1"/>
    <col min="6" max="6" width="11" style="141" customWidth="1"/>
    <col min="7" max="7" width="11.19921875" style="141" customWidth="1"/>
    <col min="8" max="16384" width="9" style="1" customWidth="1"/>
  </cols>
  <sheetData>
    <row r="1" spans="1:2" ht="15.75">
      <c r="A1" s="9" t="s">
        <v>61</v>
      </c>
      <c r="B1" s="10" t="s">
        <v>17</v>
      </c>
    </row>
    <row r="2" ht="12.75">
      <c r="B2" s="11"/>
    </row>
    <row r="3" spans="1:5" ht="45.75" customHeight="1">
      <c r="A3" s="94" t="s">
        <v>62</v>
      </c>
      <c r="B3" s="34" t="s">
        <v>332</v>
      </c>
      <c r="C3" s="1"/>
      <c r="E3" s="1"/>
    </row>
    <row r="4" spans="1:5" ht="14.25">
      <c r="A4" s="94" t="s">
        <v>14</v>
      </c>
      <c r="B4" s="7" t="s">
        <v>9</v>
      </c>
      <c r="C4" s="8" t="s">
        <v>20</v>
      </c>
      <c r="D4" s="3"/>
      <c r="E4" s="4">
        <v>1</v>
      </c>
    </row>
    <row r="5" spans="1:5" ht="25.5">
      <c r="A5" s="94" t="s">
        <v>14</v>
      </c>
      <c r="B5" s="7" t="s">
        <v>60</v>
      </c>
      <c r="C5" s="8" t="s">
        <v>20</v>
      </c>
      <c r="D5" s="3"/>
      <c r="E5" s="4">
        <v>1</v>
      </c>
    </row>
    <row r="6" spans="1:5" ht="14.25">
      <c r="A6" s="94" t="s">
        <v>14</v>
      </c>
      <c r="B6" s="7" t="s">
        <v>10</v>
      </c>
      <c r="C6" s="8" t="s">
        <v>20</v>
      </c>
      <c r="D6" s="3"/>
      <c r="E6" s="4">
        <v>0.5</v>
      </c>
    </row>
    <row r="7" spans="1:5" ht="14.25">
      <c r="A7" s="94" t="s">
        <v>14</v>
      </c>
      <c r="B7" s="7" t="s">
        <v>11</v>
      </c>
      <c r="C7" s="8" t="s">
        <v>20</v>
      </c>
      <c r="D7" s="3"/>
      <c r="E7" s="4">
        <v>0.5</v>
      </c>
    </row>
    <row r="8" spans="1:4" ht="17.25" customHeight="1">
      <c r="A8" s="95"/>
      <c r="B8" s="7"/>
      <c r="D8" s="3"/>
    </row>
    <row r="9" spans="1:4" ht="33" customHeight="1">
      <c r="A9" s="94" t="s">
        <v>63</v>
      </c>
      <c r="B9" s="7" t="s">
        <v>333</v>
      </c>
      <c r="D9" s="3"/>
    </row>
    <row r="10" spans="1:5" ht="14.25">
      <c r="A10" s="94" t="s">
        <v>14</v>
      </c>
      <c r="B10" s="7" t="s">
        <v>9</v>
      </c>
      <c r="C10" s="8" t="s">
        <v>20</v>
      </c>
      <c r="D10" s="3"/>
      <c r="E10" s="4">
        <v>1</v>
      </c>
    </row>
    <row r="11" spans="1:5" ht="14.25">
      <c r="A11" s="94" t="s">
        <v>14</v>
      </c>
      <c r="B11" s="7" t="s">
        <v>10</v>
      </c>
      <c r="C11" s="8" t="s">
        <v>20</v>
      </c>
      <c r="D11" s="3"/>
      <c r="E11" s="4">
        <v>1</v>
      </c>
    </row>
    <row r="12" spans="1:5" ht="14.25">
      <c r="A12" s="94" t="s">
        <v>14</v>
      </c>
      <c r="B12" s="7" t="s">
        <v>11</v>
      </c>
      <c r="C12" s="8" t="s">
        <v>20</v>
      </c>
      <c r="D12" s="3"/>
      <c r="E12" s="4">
        <v>1</v>
      </c>
    </row>
    <row r="13" spans="1:4" ht="20.25">
      <c r="A13" s="95"/>
      <c r="B13" s="7"/>
      <c r="D13" s="3"/>
    </row>
    <row r="14" spans="1:9" ht="70.5" customHeight="1">
      <c r="A14" s="94" t="s">
        <v>304</v>
      </c>
      <c r="B14" s="237" t="s">
        <v>334</v>
      </c>
      <c r="C14" s="8" t="s">
        <v>29</v>
      </c>
      <c r="D14" s="3"/>
      <c r="E14" s="4">
        <v>1</v>
      </c>
      <c r="I14" s="141"/>
    </row>
    <row r="15" spans="1:4" ht="14.25">
      <c r="A15" s="94"/>
      <c r="B15" s="34"/>
      <c r="D15" s="3"/>
    </row>
    <row r="16" spans="1:4" ht="14.25">
      <c r="A16" s="94"/>
      <c r="B16" s="7"/>
      <c r="D16" s="3"/>
    </row>
    <row r="17" spans="1:5" ht="87.75" customHeight="1">
      <c r="A17" s="94" t="s">
        <v>305</v>
      </c>
      <c r="B17" s="237" t="s">
        <v>335</v>
      </c>
      <c r="C17" s="8" t="s">
        <v>29</v>
      </c>
      <c r="D17" s="3"/>
      <c r="E17" s="4">
        <v>1</v>
      </c>
    </row>
    <row r="18" spans="1:4" ht="14.25">
      <c r="A18" s="94"/>
      <c r="B18" s="7"/>
      <c r="D18" s="3"/>
    </row>
    <row r="19" spans="1:7" ht="42.75">
      <c r="A19" s="94" t="s">
        <v>306</v>
      </c>
      <c r="B19" s="237" t="s">
        <v>336</v>
      </c>
      <c r="C19" s="8" t="s">
        <v>29</v>
      </c>
      <c r="D19" s="3"/>
      <c r="E19" s="4">
        <v>1</v>
      </c>
      <c r="F19" s="141">
        <v>8000</v>
      </c>
      <c r="G19" s="141">
        <f>+F19*E19</f>
        <v>8000</v>
      </c>
    </row>
    <row r="20" spans="1:4" ht="14.25">
      <c r="A20" s="94"/>
      <c r="B20" s="7"/>
      <c r="D20" s="3"/>
    </row>
    <row r="21" spans="1:7" ht="15" customHeight="1">
      <c r="A21" s="28"/>
      <c r="B21" s="81"/>
      <c r="C21" s="22"/>
      <c r="D21" s="23"/>
      <c r="E21" s="24"/>
      <c r="F21" s="238"/>
      <c r="G21" s="238"/>
    </row>
    <row r="22" spans="1:7" ht="18.75">
      <c r="A22" s="52"/>
      <c r="B22" s="46" t="s">
        <v>17</v>
      </c>
      <c r="C22" s="42"/>
      <c r="D22" s="43"/>
      <c r="E22" s="44"/>
      <c r="F22" s="241"/>
      <c r="G22" s="239"/>
    </row>
    <row r="23" spans="2:7" ht="14.25">
      <c r="B23" s="7"/>
      <c r="D23" s="3"/>
      <c r="G23" s="240"/>
    </row>
    <row r="24" spans="2:7" ht="14.25">
      <c r="B24" s="7"/>
      <c r="D24" s="3"/>
      <c r="G24" s="240"/>
    </row>
    <row r="25" spans="2:7" ht="14.25">
      <c r="B25" s="7"/>
      <c r="D25" s="3"/>
      <c r="G25" s="240"/>
    </row>
    <row r="26" spans="2:7" ht="14.25">
      <c r="B26" s="7"/>
      <c r="D26" s="3"/>
      <c r="G26" s="240"/>
    </row>
    <row r="27" spans="2:7" ht="14.25">
      <c r="B27" s="7"/>
      <c r="D27" s="3"/>
      <c r="G27" s="240"/>
    </row>
    <row r="28" spans="2:7" ht="14.25">
      <c r="B28" s="7"/>
      <c r="D28" s="3"/>
      <c r="G28" s="240"/>
    </row>
  </sheetData>
  <sheetProtection/>
  <printOptions/>
  <pageMargins left="0.984251968503937" right="0.1968503937007874" top="0.7874015748031497" bottom="0.7874015748031497" header="0.1968503937007874" footer="0.1968503937007874"/>
  <pageSetup horizontalDpi="300" verticalDpi="300" orientation="portrait" paperSize="9" r:id="rId1"/>
  <headerFooter alignWithMargins="0">
    <oddHeader>&amp;L&amp;9&amp;F&amp;R&amp;9&amp;A</oddHeader>
    <oddFooter>&amp;L&amp;9&amp;D&amp;C&amp;9PROJEKT-INVEST d.o.o.&amp;R&amp;9&amp;P</oddFooter>
  </headerFooter>
</worksheet>
</file>

<file path=xl/worksheets/sheet2.xml><?xml version="1.0" encoding="utf-8"?>
<worksheet xmlns="http://schemas.openxmlformats.org/spreadsheetml/2006/main" xmlns:r="http://schemas.openxmlformats.org/officeDocument/2006/relationships">
  <dimension ref="A2:G53"/>
  <sheetViews>
    <sheetView zoomScalePageLayoutView="0" workbookViewId="0" topLeftCell="A31">
      <selection activeCell="L35" sqref="K35:L35"/>
    </sheetView>
  </sheetViews>
  <sheetFormatPr defaultColWidth="9" defaultRowHeight="14.25"/>
  <cols>
    <col min="1" max="1" width="4.5" style="179" customWidth="1"/>
    <col min="2" max="2" width="35.09765625" style="1" customWidth="1"/>
    <col min="3" max="3" width="5.19921875" style="8" customWidth="1"/>
    <col min="4" max="4" width="2.5" style="1" customWidth="1"/>
    <col min="5" max="5" width="8.3984375" style="4" customWidth="1"/>
    <col min="6" max="6" width="8.59765625" style="4" customWidth="1"/>
    <col min="7" max="7" width="16.19921875" style="5" customWidth="1"/>
    <col min="8" max="16384" width="9" style="1" customWidth="1"/>
  </cols>
  <sheetData>
    <row r="2" ht="20.25">
      <c r="B2" s="110" t="s">
        <v>99</v>
      </c>
    </row>
    <row r="3" ht="20.25">
      <c r="B3" s="110"/>
    </row>
    <row r="4" ht="15.75">
      <c r="B4" s="103" t="s">
        <v>71</v>
      </c>
    </row>
    <row r="5" spans="2:6" ht="15" customHeight="1">
      <c r="B5" s="242" t="s">
        <v>72</v>
      </c>
      <c r="C5" s="242"/>
      <c r="D5" s="242"/>
      <c r="E5" s="242"/>
      <c r="F5" s="242"/>
    </row>
    <row r="6" spans="2:6" ht="33" customHeight="1">
      <c r="B6" s="243" t="s">
        <v>216</v>
      </c>
      <c r="C6" s="243"/>
      <c r="D6" s="243"/>
      <c r="E6" s="243"/>
      <c r="F6" s="243"/>
    </row>
    <row r="7" spans="2:6" ht="42.75" customHeight="1">
      <c r="B7" s="242" t="s">
        <v>74</v>
      </c>
      <c r="C7" s="244"/>
      <c r="D7" s="244"/>
      <c r="E7" s="244"/>
      <c r="F7" s="244"/>
    </row>
    <row r="8" ht="12.75">
      <c r="C8" s="4"/>
    </row>
    <row r="9" ht="12.75">
      <c r="C9" s="4"/>
    </row>
    <row r="10" spans="1:2" ht="18">
      <c r="A10" s="180" t="s">
        <v>100</v>
      </c>
      <c r="B10" s="14" t="s">
        <v>217</v>
      </c>
    </row>
    <row r="11" ht="14.25" customHeight="1">
      <c r="B11" s="14"/>
    </row>
    <row r="12" ht="15" customHeight="1">
      <c r="B12" s="10"/>
    </row>
    <row r="13" spans="1:5" ht="59.25" customHeight="1">
      <c r="A13" s="94" t="s">
        <v>69</v>
      </c>
      <c r="B13" s="112" t="s">
        <v>218</v>
      </c>
      <c r="C13" s="8" t="s">
        <v>86</v>
      </c>
      <c r="E13" s="168">
        <v>135</v>
      </c>
    </row>
    <row r="14" spans="1:7" ht="15" customHeight="1">
      <c r="A14" s="137"/>
      <c r="B14" s="113"/>
      <c r="C14" s="114"/>
      <c r="D14" s="30"/>
      <c r="E14" s="31"/>
      <c r="F14" s="31"/>
      <c r="G14" s="115"/>
    </row>
    <row r="15" spans="1:7" ht="30.75" customHeight="1">
      <c r="A15" s="137" t="s">
        <v>184</v>
      </c>
      <c r="B15" s="151" t="s">
        <v>219</v>
      </c>
      <c r="C15" s="114" t="s">
        <v>86</v>
      </c>
      <c r="D15" s="30"/>
      <c r="E15" s="166">
        <f>(23.2+68.5+32.2+3.8+3.4+4.8)*1.05</f>
        <v>142.69500000000002</v>
      </c>
      <c r="F15" s="31"/>
      <c r="G15" s="115"/>
    </row>
    <row r="16" spans="1:7" ht="14.25">
      <c r="A16" s="137"/>
      <c r="B16" s="151"/>
      <c r="C16" s="114"/>
      <c r="D16" s="30"/>
      <c r="E16" s="31"/>
      <c r="F16" s="31"/>
      <c r="G16" s="115"/>
    </row>
    <row r="17" spans="1:7" ht="30" customHeight="1">
      <c r="A17" s="137" t="s">
        <v>185</v>
      </c>
      <c r="B17" s="151" t="s">
        <v>220</v>
      </c>
      <c r="C17" s="114" t="s">
        <v>115</v>
      </c>
      <c r="D17" s="30"/>
      <c r="E17" s="166">
        <f>(30.1+65.7)*1.05</f>
        <v>100.59000000000002</v>
      </c>
      <c r="F17" s="31"/>
      <c r="G17" s="115"/>
    </row>
    <row r="18" spans="1:7" ht="14.25">
      <c r="A18" s="137"/>
      <c r="B18" s="151"/>
      <c r="C18" s="114"/>
      <c r="D18" s="30"/>
      <c r="E18" s="31"/>
      <c r="F18" s="31"/>
      <c r="G18" s="115"/>
    </row>
    <row r="19" spans="1:7" ht="38.25">
      <c r="A19" s="137" t="s">
        <v>186</v>
      </c>
      <c r="B19" s="7" t="s">
        <v>167</v>
      </c>
      <c r="C19" s="8" t="s">
        <v>21</v>
      </c>
      <c r="D19" s="3">
        <v>2</v>
      </c>
      <c r="E19" s="183">
        <f>((16.1+7.2)*1.7+(4.3+10.6)*1.2+(2.8*1.2)+(47*0.65))*1.05</f>
        <v>95.97</v>
      </c>
      <c r="F19" s="1"/>
      <c r="G19" s="115"/>
    </row>
    <row r="20" spans="1:7" ht="15" customHeight="1">
      <c r="A20" s="137"/>
      <c r="B20" s="7"/>
      <c r="D20" s="3"/>
      <c r="E20" s="1"/>
      <c r="F20" s="1"/>
      <c r="G20" s="115"/>
    </row>
    <row r="21" spans="1:7" ht="38.25">
      <c r="A21" s="137" t="s">
        <v>187</v>
      </c>
      <c r="B21" s="7" t="s">
        <v>307</v>
      </c>
      <c r="C21" s="8" t="s">
        <v>133</v>
      </c>
      <c r="D21" s="3">
        <v>2</v>
      </c>
      <c r="E21" s="184">
        <f>E17+E19</f>
        <v>196.56</v>
      </c>
      <c r="F21" s="1"/>
      <c r="G21" s="115"/>
    </row>
    <row r="22" spans="1:7" ht="14.25">
      <c r="A22" s="137"/>
      <c r="B22" s="151"/>
      <c r="C22" s="114"/>
      <c r="D22" s="30"/>
      <c r="E22" s="31"/>
      <c r="F22" s="31"/>
      <c r="G22" s="115"/>
    </row>
    <row r="23" spans="1:7" ht="38.25">
      <c r="A23" s="137" t="s">
        <v>188</v>
      </c>
      <c r="B23" s="7" t="s">
        <v>221</v>
      </c>
      <c r="D23" s="3"/>
      <c r="E23" s="1"/>
      <c r="F23" s="1"/>
      <c r="G23" s="115"/>
    </row>
    <row r="24" spans="1:7" ht="14.25">
      <c r="A24" s="137"/>
      <c r="B24" s="7" t="s">
        <v>131</v>
      </c>
      <c r="C24" s="8" t="s">
        <v>29</v>
      </c>
      <c r="D24" s="3"/>
      <c r="E24" s="1">
        <v>9</v>
      </c>
      <c r="F24" s="1"/>
      <c r="G24" s="115"/>
    </row>
    <row r="25" spans="1:7" ht="14.25">
      <c r="A25" s="137"/>
      <c r="B25" s="7" t="s">
        <v>132</v>
      </c>
      <c r="C25" s="8" t="s">
        <v>21</v>
      </c>
      <c r="D25" s="3">
        <v>1</v>
      </c>
      <c r="E25" s="1">
        <v>6</v>
      </c>
      <c r="F25" s="1"/>
      <c r="G25" s="115"/>
    </row>
    <row r="26" spans="1:7" ht="15" customHeight="1">
      <c r="A26" s="137"/>
      <c r="B26" s="7"/>
      <c r="C26" s="1"/>
      <c r="D26" s="8"/>
      <c r="E26" s="3"/>
      <c r="F26" s="152"/>
      <c r="G26" s="115"/>
    </row>
    <row r="27" spans="1:7" ht="46.5" customHeight="1">
      <c r="A27" s="137" t="s">
        <v>189</v>
      </c>
      <c r="B27" s="34" t="s">
        <v>135</v>
      </c>
      <c r="C27" s="8" t="s">
        <v>21</v>
      </c>
      <c r="D27" s="3">
        <v>2</v>
      </c>
      <c r="E27" s="184">
        <f>54*1.05</f>
        <v>56.7</v>
      </c>
      <c r="F27" s="152"/>
      <c r="G27" s="115"/>
    </row>
    <row r="28" spans="1:7" ht="14.25">
      <c r="A28" s="137"/>
      <c r="B28" s="151"/>
      <c r="C28" s="114"/>
      <c r="D28" s="30"/>
      <c r="E28" s="31"/>
      <c r="F28" s="31"/>
      <c r="G28" s="115"/>
    </row>
    <row r="29" spans="1:7" ht="48" customHeight="1">
      <c r="A29" s="137" t="s">
        <v>190</v>
      </c>
      <c r="B29" s="34" t="s">
        <v>146</v>
      </c>
      <c r="C29" s="8" t="s">
        <v>21</v>
      </c>
      <c r="D29" s="3">
        <v>3</v>
      </c>
      <c r="E29" s="31">
        <v>3</v>
      </c>
      <c r="F29" s="31"/>
      <c r="G29" s="115"/>
    </row>
    <row r="30" spans="1:7" ht="14.25">
      <c r="A30" s="137"/>
      <c r="B30" s="151"/>
      <c r="C30" s="114"/>
      <c r="D30" s="30"/>
      <c r="E30" s="31"/>
      <c r="F30" s="31"/>
      <c r="G30" s="115"/>
    </row>
    <row r="31" spans="1:7" ht="14.25">
      <c r="A31" s="137" t="s">
        <v>191</v>
      </c>
      <c r="B31" s="151" t="s">
        <v>222</v>
      </c>
      <c r="C31" s="114" t="s">
        <v>29</v>
      </c>
      <c r="D31" s="30"/>
      <c r="E31" s="166">
        <v>80</v>
      </c>
      <c r="F31" s="31"/>
      <c r="G31" s="115"/>
    </row>
    <row r="32" spans="1:7" ht="14.25">
      <c r="A32" s="137"/>
      <c r="B32" s="151"/>
      <c r="C32" s="114"/>
      <c r="D32" s="30"/>
      <c r="E32" s="31"/>
      <c r="F32" s="31"/>
      <c r="G32" s="115"/>
    </row>
    <row r="33" spans="1:7" ht="14.25">
      <c r="A33" s="137"/>
      <c r="B33" s="151"/>
      <c r="C33" s="114"/>
      <c r="D33" s="30"/>
      <c r="E33" s="31"/>
      <c r="F33" s="31"/>
      <c r="G33" s="115"/>
    </row>
    <row r="34" spans="1:7" ht="51">
      <c r="A34" s="137" t="s">
        <v>192</v>
      </c>
      <c r="B34" s="151" t="s">
        <v>156</v>
      </c>
      <c r="C34" s="8" t="s">
        <v>21</v>
      </c>
      <c r="D34" s="3">
        <v>2</v>
      </c>
      <c r="E34" s="166">
        <f>(23+34+14)*1.05</f>
        <v>74.55</v>
      </c>
      <c r="F34" s="31"/>
      <c r="G34" s="164"/>
    </row>
    <row r="35" spans="1:7" ht="14.25">
      <c r="A35" s="137"/>
      <c r="B35" s="151"/>
      <c r="D35" s="3"/>
      <c r="E35" s="166"/>
      <c r="F35" s="31"/>
      <c r="G35" s="115"/>
    </row>
    <row r="36" spans="1:7" ht="30" customHeight="1">
      <c r="A36" s="137" t="s">
        <v>193</v>
      </c>
      <c r="B36" s="151" t="s">
        <v>233</v>
      </c>
      <c r="C36" s="8" t="s">
        <v>21</v>
      </c>
      <c r="D36" s="3">
        <v>2</v>
      </c>
      <c r="E36" s="168">
        <f>72*1.05</f>
        <v>75.60000000000001</v>
      </c>
      <c r="F36" s="31"/>
      <c r="G36" s="160"/>
    </row>
    <row r="37" spans="1:7" ht="14.25">
      <c r="A37" s="137"/>
      <c r="B37" s="151"/>
      <c r="D37" s="3"/>
      <c r="E37" s="168"/>
      <c r="F37" s="31"/>
      <c r="G37" s="160"/>
    </row>
    <row r="38" spans="1:7" ht="38.25">
      <c r="A38" s="137" t="s">
        <v>194</v>
      </c>
      <c r="B38" s="185" t="s">
        <v>308</v>
      </c>
      <c r="C38" s="171"/>
      <c r="D38" s="173"/>
      <c r="E38" s="169"/>
      <c r="F38" s="31"/>
      <c r="G38" s="160"/>
    </row>
    <row r="39" spans="1:7" ht="14.25">
      <c r="A39" s="137"/>
      <c r="B39" s="185" t="s">
        <v>180</v>
      </c>
      <c r="C39" s="171" t="s">
        <v>21</v>
      </c>
      <c r="D39" s="173">
        <v>3</v>
      </c>
      <c r="E39" s="169">
        <f>+'1-Pripravljalna dela ZU'!E27*0.4*1.05</f>
        <v>23.814000000000004</v>
      </c>
      <c r="F39" s="31"/>
      <c r="G39" s="160"/>
    </row>
    <row r="40" spans="1:7" ht="25.5">
      <c r="A40" s="137"/>
      <c r="B40" s="185" t="s">
        <v>197</v>
      </c>
      <c r="C40" s="171" t="s">
        <v>21</v>
      </c>
      <c r="D40" s="173">
        <v>3</v>
      </c>
      <c r="E40" s="169">
        <f>((+'1-Pripravljalna dela ZU'!E34+'1-Pripravljalna dela ZU'!E36)*0.3+(13.7+37+17.3+18.1+16.4)*0.6*0.3)*1.05</f>
        <v>66.66975000000001</v>
      </c>
      <c r="F40" s="31"/>
      <c r="G40" s="160"/>
    </row>
    <row r="41" spans="1:7" ht="14.25">
      <c r="A41" s="137"/>
      <c r="B41" s="185"/>
      <c r="C41" s="171"/>
      <c r="D41" s="173"/>
      <c r="E41" s="169"/>
      <c r="F41" s="31"/>
      <c r="G41" s="160"/>
    </row>
    <row r="42" spans="1:7" ht="14.25">
      <c r="A42" s="137" t="s">
        <v>195</v>
      </c>
      <c r="B42" s="151" t="s">
        <v>168</v>
      </c>
      <c r="D42" s="3"/>
      <c r="E42" s="166"/>
      <c r="F42" s="31"/>
      <c r="G42" s="115"/>
    </row>
    <row r="43" spans="1:7" ht="14.25">
      <c r="A43" s="181"/>
      <c r="B43" s="151" t="s">
        <v>154</v>
      </c>
      <c r="C43" s="8" t="s">
        <v>21</v>
      </c>
      <c r="D43" s="3">
        <v>3</v>
      </c>
      <c r="E43" s="165">
        <f>(E36*0.06)*1.05</f>
        <v>4.7628</v>
      </c>
      <c r="F43" s="31"/>
      <c r="G43" s="115"/>
    </row>
    <row r="44" spans="1:7" ht="14.25">
      <c r="A44" s="181"/>
      <c r="B44" s="151" t="s">
        <v>155</v>
      </c>
      <c r="C44" s="8" t="s">
        <v>21</v>
      </c>
      <c r="D44" s="3">
        <v>3</v>
      </c>
      <c r="E44" s="165">
        <f>((E34+E27)*0.15+'2-Ureditev okolice ZU'!E23)*1.05</f>
        <v>22.141875</v>
      </c>
      <c r="F44" s="31"/>
      <c r="G44" s="115"/>
    </row>
    <row r="45" spans="1:7" ht="14.25">
      <c r="A45" s="181"/>
      <c r="B45" s="186" t="s">
        <v>157</v>
      </c>
      <c r="C45" s="171" t="s">
        <v>21</v>
      </c>
      <c r="D45" s="187">
        <v>3</v>
      </c>
      <c r="E45" s="188">
        <f>(+E40+E39+'2-Ureditev okolice ZU'!E24)*1.05</f>
        <v>96.38606250000002</v>
      </c>
      <c r="F45" s="31"/>
      <c r="G45" s="115"/>
    </row>
    <row r="46" spans="1:7" ht="16.5">
      <c r="A46" s="181"/>
      <c r="B46" s="163"/>
      <c r="C46" s="153"/>
      <c r="D46" s="154"/>
      <c r="E46" s="160"/>
      <c r="F46" s="31"/>
      <c r="G46" s="115"/>
    </row>
    <row r="47" spans="1:7" ht="18">
      <c r="A47" s="182"/>
      <c r="B47" s="245" t="s">
        <v>202</v>
      </c>
      <c r="C47" s="246"/>
      <c r="D47" s="246"/>
      <c r="E47" s="246"/>
      <c r="F47" s="246"/>
      <c r="G47" s="51"/>
    </row>
    <row r="51" spans="3:5" ht="12.75">
      <c r="C51" s="1"/>
      <c r="E51" s="1"/>
    </row>
    <row r="52" spans="3:5" ht="12.75">
      <c r="C52" s="1"/>
      <c r="E52" s="1"/>
    </row>
    <row r="53" spans="3:5" ht="12.75">
      <c r="C53" s="1"/>
      <c r="E53" s="1"/>
    </row>
  </sheetData>
  <sheetProtection/>
  <mergeCells count="4">
    <mergeCell ref="B5:F5"/>
    <mergeCell ref="B6:F6"/>
    <mergeCell ref="B7:F7"/>
    <mergeCell ref="B47:F47"/>
  </mergeCells>
  <printOptions/>
  <pageMargins left="1.0236220472440944" right="0.1968503937007874" top="0.984251968503937" bottom="0.984251968503937" header="0.3937007874015748" footer="0.1968503937007874"/>
  <pageSetup horizontalDpi="600" verticalDpi="600" orientation="portrait" paperSize="9" r:id="rId1"/>
  <headerFooter alignWithMargins="0">
    <oddHeader>&amp;L&amp;D
&amp;F&amp;CPROJEKT-INVEST d.o.o.&amp;R&amp;A</oddHeader>
    <oddFooter>&amp;R&amp;P</oddFooter>
  </headerFooter>
</worksheet>
</file>

<file path=xl/worksheets/sheet20.xml><?xml version="1.0" encoding="utf-8"?>
<worksheet xmlns="http://schemas.openxmlformats.org/spreadsheetml/2006/main" xmlns:r="http://schemas.openxmlformats.org/officeDocument/2006/relationships">
  <dimension ref="A1:G9"/>
  <sheetViews>
    <sheetView zoomScale="130" zoomScaleNormal="130" zoomScalePageLayoutView="0" workbookViewId="0" topLeftCell="A1">
      <selection activeCell="B6" sqref="B6"/>
    </sheetView>
  </sheetViews>
  <sheetFormatPr defaultColWidth="9" defaultRowHeight="14.25"/>
  <cols>
    <col min="1" max="1" width="4.5" style="9" customWidth="1"/>
    <col min="2" max="2" width="35.09765625" style="1" customWidth="1"/>
    <col min="3" max="3" width="5" style="8" customWidth="1"/>
    <col min="4" max="4" width="2.19921875" style="1" customWidth="1"/>
    <col min="5" max="5" width="6.69921875" style="4" customWidth="1"/>
    <col min="6" max="6" width="10.09765625" style="4" customWidth="1"/>
    <col min="7" max="7" width="17.59765625" style="5" customWidth="1"/>
    <col min="8" max="16384" width="9" style="1" customWidth="1"/>
  </cols>
  <sheetData>
    <row r="1" spans="1:2" ht="15.75">
      <c r="A1" s="40">
        <v>11</v>
      </c>
      <c r="B1" s="10" t="s">
        <v>28</v>
      </c>
    </row>
    <row r="2" spans="1:7" s="2" customFormat="1" ht="12.75">
      <c r="A2" s="9"/>
      <c r="B2" s="11"/>
      <c r="C2" s="8"/>
      <c r="D2" s="1"/>
      <c r="E2" s="4"/>
      <c r="F2" s="4"/>
      <c r="G2" s="5"/>
    </row>
    <row r="3" spans="1:5" ht="14.25">
      <c r="A3" s="94" t="s">
        <v>64</v>
      </c>
      <c r="B3" s="7" t="s">
        <v>19</v>
      </c>
      <c r="C3" s="8" t="s">
        <v>20</v>
      </c>
      <c r="D3" s="3"/>
      <c r="E3" s="4">
        <v>5</v>
      </c>
    </row>
    <row r="4" spans="1:7" ht="14.25">
      <c r="A4" s="28"/>
      <c r="B4" s="21"/>
      <c r="C4" s="22"/>
      <c r="D4" s="23"/>
      <c r="E4" s="24"/>
      <c r="F4" s="24"/>
      <c r="G4" s="26"/>
    </row>
    <row r="5" spans="1:7" ht="18.75">
      <c r="A5" s="52"/>
      <c r="B5" s="46" t="s">
        <v>28</v>
      </c>
      <c r="C5" s="42"/>
      <c r="D5" s="43"/>
      <c r="E5" s="44"/>
      <c r="F5" s="45"/>
      <c r="G5" s="51"/>
    </row>
    <row r="6" spans="5:7" ht="12.75">
      <c r="E6" s="4" t="s">
        <v>23</v>
      </c>
      <c r="F6" s="4" t="s">
        <v>23</v>
      </c>
      <c r="G6" s="5" t="s">
        <v>23</v>
      </c>
    </row>
    <row r="7" ht="12.75">
      <c r="G7" s="5" t="s">
        <v>23</v>
      </c>
    </row>
    <row r="8" spans="2:7" ht="14.25">
      <c r="B8" s="7"/>
      <c r="D8" s="3"/>
      <c r="G8" s="5" t="s">
        <v>23</v>
      </c>
    </row>
    <row r="9" ht="12.75">
      <c r="G9" s="5" t="s">
        <v>23</v>
      </c>
    </row>
  </sheetData>
  <sheetProtection/>
  <printOptions/>
  <pageMargins left="0.984251968503937" right="0.1968503937007874" top="0.7874015748031497" bottom="0.7874015748031497" header="0.1968503937007874" footer="0.1968503937007874"/>
  <pageSetup horizontalDpi="300" verticalDpi="300" orientation="portrait" paperSize="9" r:id="rId1"/>
  <headerFooter alignWithMargins="0">
    <oddHeader>&amp;L&amp;9&amp;F&amp;R&amp;9&amp;A</oddHeader>
    <oddFooter>&amp;L&amp;9&amp;D&amp;C&amp;9PROJEKT-INVEST d.o.o.&amp;R&amp;9&amp;P</oddFooter>
  </headerFooter>
</worksheet>
</file>

<file path=xl/worksheets/sheet21.xml><?xml version="1.0" encoding="utf-8"?>
<worksheet xmlns="http://schemas.openxmlformats.org/spreadsheetml/2006/main" xmlns:r="http://schemas.openxmlformats.org/officeDocument/2006/relationships">
  <dimension ref="A3:G21"/>
  <sheetViews>
    <sheetView zoomScale="130" zoomScaleNormal="130" zoomScalePageLayoutView="0" workbookViewId="0" topLeftCell="A11">
      <selection activeCell="B19" sqref="B19"/>
    </sheetView>
  </sheetViews>
  <sheetFormatPr defaultColWidth="9" defaultRowHeight="14.25"/>
  <cols>
    <col min="1" max="1" width="4.5" style="9" customWidth="1"/>
    <col min="2" max="2" width="35.09765625" style="1" customWidth="1"/>
    <col min="3" max="3" width="5" style="8" customWidth="1"/>
    <col min="4" max="4" width="2.19921875" style="1" customWidth="1"/>
    <col min="5" max="5" width="6.69921875" style="4" customWidth="1"/>
    <col min="6" max="6" width="5.8984375" style="4" customWidth="1"/>
    <col min="7" max="7" width="19.69921875" style="5" customWidth="1"/>
    <col min="8" max="16384" width="9" style="1" customWidth="1"/>
  </cols>
  <sheetData>
    <row r="3" ht="18.75">
      <c r="B3" s="235" t="s">
        <v>26</v>
      </c>
    </row>
    <row r="4" ht="18.75">
      <c r="B4" s="68"/>
    </row>
    <row r="5" ht="18.75">
      <c r="B5" s="149" t="str">
        <f>+'  PO '!B4</f>
        <v>INVESTICIJSKO VZDRŽEVALNA DELA - ŠPITAL Gornja Radgona</v>
      </c>
    </row>
    <row r="6" ht="18.75">
      <c r="B6" s="68"/>
    </row>
    <row r="7" ht="18.75">
      <c r="B7" s="68"/>
    </row>
    <row r="8" ht="12.75">
      <c r="B8" s="11"/>
    </row>
    <row r="9" spans="1:7" ht="18">
      <c r="A9" s="101"/>
      <c r="B9" s="14" t="str">
        <f>+'Pripravljalna dela PO1'!B33:F33</f>
        <v>Pripravljalna dela:</v>
      </c>
      <c r="G9" s="32"/>
    </row>
    <row r="10" spans="1:7" s="2" customFormat="1" ht="18">
      <c r="A10" s="101"/>
      <c r="B10" s="14" t="str">
        <f>+'Zidarska dela PO2'!B2</f>
        <v>Zidarska dela:</v>
      </c>
      <c r="C10" s="8"/>
      <c r="E10" s="6"/>
      <c r="F10" s="6"/>
      <c r="G10" s="32"/>
    </row>
    <row r="11" spans="1:7" ht="18">
      <c r="A11" s="101"/>
      <c r="B11" s="14" t="str">
        <f>+'Tesarska dela PO3'!B2</f>
        <v>Tesarska dela:</v>
      </c>
      <c r="D11" s="3"/>
      <c r="G11" s="32"/>
    </row>
    <row r="12" spans="1:7" ht="18">
      <c r="A12" s="101"/>
      <c r="B12" s="13" t="str">
        <f>+'Ključavničarska dela PO4 '!B2</f>
        <v>Ključavničarska dela:</v>
      </c>
      <c r="D12" s="3"/>
      <c r="G12" s="32"/>
    </row>
    <row r="13" spans="1:7" ht="18">
      <c r="A13" s="101"/>
      <c r="B13" s="13" t="str">
        <f>+'Okna vrata PO5'!B2</f>
        <v>Vrata:</v>
      </c>
      <c r="D13" s="3"/>
      <c r="G13" s="32"/>
    </row>
    <row r="14" spans="1:7" ht="18">
      <c r="A14" s="101"/>
      <c r="B14" s="13" t="str">
        <f>+'Suhomontažna dela PO6'!B14</f>
        <v>Suhomontažna dela:</v>
      </c>
      <c r="D14" s="3"/>
      <c r="G14" s="32"/>
    </row>
    <row r="15" spans="1:7" ht="18">
      <c r="A15" s="101"/>
      <c r="B15" s="14" t="str">
        <f>+'Slikoplesk. dela PO7'!B2</f>
        <v>Slikopleskarska dela:</v>
      </c>
      <c r="G15" s="32"/>
    </row>
    <row r="16" spans="1:7" ht="18">
      <c r="A16" s="101"/>
      <c r="B16" s="14" t="str">
        <f>+'Požarna zaščita PO8'!B2</f>
        <v>Požarna zaščita:</v>
      </c>
      <c r="G16" s="32"/>
    </row>
    <row r="17" spans="1:7" ht="18">
      <c r="A17" s="101"/>
      <c r="B17" s="14" t="str">
        <f>+'Strojna dela PO9'!B1</f>
        <v>Strojne instalacije:</v>
      </c>
      <c r="G17" s="32"/>
    </row>
    <row r="18" spans="1:7" ht="18">
      <c r="A18" s="101"/>
      <c r="B18" s="14" t="str">
        <f>+'Razna dela PO10'!B1</f>
        <v>Razna dela:</v>
      </c>
      <c r="G18" s="32"/>
    </row>
    <row r="19" spans="1:7" ht="18">
      <c r="A19" s="101"/>
      <c r="B19" s="14" t="str">
        <f>+'Nepredvidena dela PO'!B1</f>
        <v>Nepredvidena dela:</v>
      </c>
      <c r="G19" s="27"/>
    </row>
    <row r="20" spans="2:7" ht="18">
      <c r="B20" s="85" t="s">
        <v>12</v>
      </c>
      <c r="C20" s="86"/>
      <c r="D20" s="89"/>
      <c r="E20" s="88"/>
      <c r="F20" s="88"/>
      <c r="G20" s="84"/>
    </row>
    <row r="21" spans="2:7" ht="18">
      <c r="B21" s="66"/>
      <c r="C21" s="29"/>
      <c r="D21" s="30"/>
      <c r="E21" s="31"/>
      <c r="F21" s="31"/>
      <c r="G21" s="33"/>
    </row>
  </sheetData>
  <sheetProtection/>
  <printOptions/>
  <pageMargins left="0.984251968503937" right="0.1968503937007874" top="0.7874015748031497" bottom="0.7874015748031497" header="0.1968503937007874" footer="0.1968503937007874"/>
  <pageSetup horizontalDpi="300" verticalDpi="300" orientation="portrait" paperSize="9" r:id="rId1"/>
  <headerFooter alignWithMargins="0">
    <oddHeader>&amp;L&amp;9&amp;F&amp;R&amp;9&amp;A</oddHeader>
    <oddFooter>&amp;L&amp;9&amp;D&amp;C&amp;9PROJEKT-INVEST d.o.o.&amp;R&amp;9&amp;P</oddFooter>
  </headerFooter>
</worksheet>
</file>

<file path=xl/worksheets/sheet22.xml><?xml version="1.0" encoding="utf-8"?>
<worksheet xmlns="http://schemas.openxmlformats.org/spreadsheetml/2006/main" xmlns:r="http://schemas.openxmlformats.org/officeDocument/2006/relationships">
  <dimension ref="B2:G18"/>
  <sheetViews>
    <sheetView zoomScalePageLayoutView="0" workbookViewId="0" topLeftCell="A11">
      <selection activeCell="E17" sqref="E17"/>
    </sheetView>
  </sheetViews>
  <sheetFormatPr defaultColWidth="9" defaultRowHeight="14.25"/>
  <cols>
    <col min="1" max="1" width="4.5" style="9" customWidth="1"/>
    <col min="2" max="2" width="35.09765625" style="1" customWidth="1"/>
    <col min="3" max="3" width="5" style="8" customWidth="1"/>
    <col min="4" max="4" width="2.19921875" style="1" customWidth="1"/>
    <col min="5" max="5" width="6.69921875" style="4" customWidth="1"/>
    <col min="6" max="6" width="5.8984375" style="4" customWidth="1"/>
    <col min="7" max="7" width="19.69921875" style="141" customWidth="1"/>
    <col min="8" max="16384" width="9" style="1" customWidth="1"/>
  </cols>
  <sheetData>
    <row r="2" ht="20.25">
      <c r="B2" s="236" t="s">
        <v>114</v>
      </c>
    </row>
    <row r="3" ht="18.75">
      <c r="B3" s="235"/>
    </row>
    <row r="4" ht="18.75">
      <c r="B4" s="235"/>
    </row>
    <row r="6" spans="2:7" ht="18">
      <c r="B6" s="148" t="str">
        <f>+'Zunanja ureditev -  ZU'!B4</f>
        <v>ZUNANJA UREDITEV OBJEKTA - ŠPITAL Gornja Radgona</v>
      </c>
      <c r="G6" s="1"/>
    </row>
    <row r="7" spans="2:7" ht="18">
      <c r="B7" s="148"/>
      <c r="G7" s="141">
        <f>+'7-Rekapitulacija ZU'!G13</f>
        <v>0</v>
      </c>
    </row>
    <row r="8" ht="18">
      <c r="B8" s="148"/>
    </row>
    <row r="9" ht="18">
      <c r="B9" s="148" t="str">
        <f>+'  PO '!B4</f>
        <v>INVESTICIJSKO VZDRŽEVALNA DELA - ŠPITAL Gornja Radgona</v>
      </c>
    </row>
    <row r="10" ht="12.75">
      <c r="G10" s="141">
        <f>+'Rekapitulacija PO'!G20</f>
        <v>0</v>
      </c>
    </row>
    <row r="12" spans="2:7" ht="18">
      <c r="B12" s="150" t="s">
        <v>12</v>
      </c>
      <c r="C12" s="86"/>
      <c r="D12" s="89"/>
      <c r="E12" s="88"/>
      <c r="F12" s="88"/>
      <c r="G12" s="142">
        <f>SUM(G5:G10)</f>
        <v>0</v>
      </c>
    </row>
    <row r="13" spans="2:7" ht="18">
      <c r="B13" s="66"/>
      <c r="C13" s="29"/>
      <c r="D13" s="30"/>
      <c r="E13" s="31"/>
      <c r="F13" s="31"/>
      <c r="G13" s="143"/>
    </row>
    <row r="14" spans="2:7" ht="15.75">
      <c r="B14" s="62" t="s">
        <v>31</v>
      </c>
      <c r="G14" s="144">
        <f>0.2*G12</f>
        <v>0</v>
      </c>
    </row>
    <row r="15" spans="2:7" ht="18">
      <c r="B15" s="13"/>
      <c r="G15" s="145"/>
    </row>
    <row r="16" spans="2:7" ht="18.75">
      <c r="B16" s="85" t="s">
        <v>18</v>
      </c>
      <c r="C16" s="86"/>
      <c r="D16" s="87"/>
      <c r="E16" s="88"/>
      <c r="F16" s="88"/>
      <c r="G16" s="146">
        <f>+G14+G12</f>
        <v>0</v>
      </c>
    </row>
    <row r="17" spans="2:7" ht="18.75">
      <c r="B17" s="66"/>
      <c r="C17" s="29"/>
      <c r="D17" s="67"/>
      <c r="E17" s="31"/>
      <c r="F17" s="31"/>
      <c r="G17" s="147"/>
    </row>
    <row r="18" spans="2:6" ht="18">
      <c r="B18" s="66"/>
      <c r="C18" s="29"/>
      <c r="D18" s="67"/>
      <c r="E18" s="31"/>
      <c r="F18" s="31"/>
    </row>
  </sheetData>
  <sheetProtection/>
  <printOptions/>
  <pageMargins left="0.984251968503937" right="0.1968503937007874" top="0.7874015748031497" bottom="0.7874015748031497" header="0.1968503937007874" footer="0.1968503937007874"/>
  <pageSetup horizontalDpi="300" verticalDpi="300" orientation="portrait" paperSize="9" r:id="rId1"/>
  <headerFooter alignWithMargins="0">
    <oddHeader>&amp;L&amp;9&amp;F&amp;R&amp;9&amp;A</oddHeader>
    <oddFooter>&amp;L&amp;9&amp;D&amp;C&amp;9PROJEKT-INVEST d.o.o.&amp;R&amp;9&amp;P</oddFooter>
  </headerFooter>
</worksheet>
</file>

<file path=xl/worksheets/sheet3.xml><?xml version="1.0" encoding="utf-8"?>
<worksheet xmlns="http://schemas.openxmlformats.org/spreadsheetml/2006/main" xmlns:r="http://schemas.openxmlformats.org/officeDocument/2006/relationships">
  <dimension ref="A2:G41"/>
  <sheetViews>
    <sheetView zoomScalePageLayoutView="0" workbookViewId="0" topLeftCell="A23">
      <selection activeCell="E24" sqref="E24"/>
    </sheetView>
  </sheetViews>
  <sheetFormatPr defaultColWidth="9" defaultRowHeight="14.25"/>
  <cols>
    <col min="1" max="1" width="4.5" style="9" customWidth="1"/>
    <col min="2" max="2" width="35.09765625" style="1" customWidth="1"/>
    <col min="3" max="3" width="5" style="8" customWidth="1"/>
    <col min="4" max="4" width="2.19921875" style="1" customWidth="1"/>
    <col min="5" max="5" width="8.3984375" style="4" customWidth="1"/>
    <col min="6" max="6" width="10.09765625" style="4" customWidth="1"/>
    <col min="7" max="7" width="16.69921875" style="5" customWidth="1"/>
    <col min="8" max="16384" width="9" style="1" customWidth="1"/>
  </cols>
  <sheetData>
    <row r="2" ht="12.75">
      <c r="C2" s="4"/>
    </row>
    <row r="3" spans="1:2" ht="18">
      <c r="A3" s="101" t="s">
        <v>22</v>
      </c>
      <c r="B3" s="14" t="s">
        <v>201</v>
      </c>
    </row>
    <row r="4" ht="12.75">
      <c r="B4" s="11"/>
    </row>
    <row r="5" spans="2:4" ht="12.75">
      <c r="B5" s="35"/>
      <c r="D5" s="36"/>
    </row>
    <row r="6" spans="1:5" ht="102">
      <c r="A6" s="94" t="s">
        <v>1</v>
      </c>
      <c r="B6" s="34" t="s">
        <v>229</v>
      </c>
      <c r="C6" s="8" t="s">
        <v>29</v>
      </c>
      <c r="D6" s="36"/>
      <c r="E6" s="168">
        <v>7</v>
      </c>
    </row>
    <row r="7" spans="1:4" ht="12.75">
      <c r="A7" s="94"/>
      <c r="B7" s="34"/>
      <c r="D7" s="36"/>
    </row>
    <row r="8" spans="1:5" ht="38.25">
      <c r="A8" s="94" t="s">
        <v>2</v>
      </c>
      <c r="B8" s="185" t="s">
        <v>309</v>
      </c>
      <c r="C8" s="171" t="s">
        <v>21</v>
      </c>
      <c r="D8" s="173">
        <v>3</v>
      </c>
      <c r="E8" s="169">
        <v>29</v>
      </c>
    </row>
    <row r="9" spans="1:5" ht="14.25">
      <c r="A9" s="94"/>
      <c r="B9" s="185"/>
      <c r="C9" s="171"/>
      <c r="D9" s="173"/>
      <c r="E9" s="169"/>
    </row>
    <row r="10" spans="1:5" ht="38.25">
      <c r="A10" s="94" t="s">
        <v>75</v>
      </c>
      <c r="B10" s="185" t="s">
        <v>310</v>
      </c>
      <c r="C10" s="171" t="s">
        <v>21</v>
      </c>
      <c r="D10" s="173">
        <v>3</v>
      </c>
      <c r="E10" s="169">
        <v>31</v>
      </c>
    </row>
    <row r="11" spans="1:5" ht="14.25">
      <c r="A11" s="94"/>
      <c r="B11" s="185"/>
      <c r="C11" s="171"/>
      <c r="D11" s="173"/>
      <c r="E11" s="177"/>
    </row>
    <row r="12" spans="1:5" ht="45" customHeight="1">
      <c r="A12" s="94" t="s">
        <v>79</v>
      </c>
      <c r="B12" s="193" t="s">
        <v>181</v>
      </c>
      <c r="C12" s="171" t="s">
        <v>21</v>
      </c>
      <c r="D12" s="173">
        <v>3</v>
      </c>
      <c r="E12" s="169">
        <f>+'1-Pripravljalna dela ZU'!E27*0.15*1.05</f>
        <v>8.930250000000001</v>
      </c>
    </row>
    <row r="13" spans="1:5" ht="14.25">
      <c r="A13" s="94"/>
      <c r="B13" s="185"/>
      <c r="C13" s="171"/>
      <c r="D13" s="173"/>
      <c r="E13" s="177"/>
    </row>
    <row r="14" spans="1:5" ht="25.5">
      <c r="A14" s="94" t="s">
        <v>80</v>
      </c>
      <c r="B14" s="185" t="s">
        <v>179</v>
      </c>
      <c r="C14" s="171" t="s">
        <v>21</v>
      </c>
      <c r="D14" s="173">
        <v>1</v>
      </c>
      <c r="E14" s="169">
        <f>4*4*1.05</f>
        <v>16.8</v>
      </c>
    </row>
    <row r="15" spans="1:5" ht="14.25">
      <c r="A15" s="94"/>
      <c r="B15" s="189"/>
      <c r="C15" s="155"/>
      <c r="D15" s="157"/>
      <c r="E15" s="156"/>
    </row>
    <row r="16" spans="1:6" ht="38.25">
      <c r="A16" s="94" t="s">
        <v>176</v>
      </c>
      <c r="B16" s="185" t="s">
        <v>311</v>
      </c>
      <c r="C16" s="8" t="s">
        <v>21</v>
      </c>
      <c r="D16" s="173">
        <v>3</v>
      </c>
      <c r="E16" s="167">
        <v>24</v>
      </c>
      <c r="F16" s="162"/>
    </row>
    <row r="17" spans="1:6" ht="14.25">
      <c r="A17" s="94"/>
      <c r="B17" s="185"/>
      <c r="C17" s="171"/>
      <c r="D17" s="173"/>
      <c r="E17" s="169"/>
      <c r="F17" s="162"/>
    </row>
    <row r="18" spans="1:6" ht="74.25" customHeight="1">
      <c r="A18" s="94" t="s">
        <v>223</v>
      </c>
      <c r="B18" s="193" t="s">
        <v>198</v>
      </c>
      <c r="C18" s="171" t="s">
        <v>21</v>
      </c>
      <c r="D18" s="173">
        <v>1</v>
      </c>
      <c r="E18" s="169">
        <f>(13.7+37+17.3+18.1+16.4)*1.05</f>
        <v>107.625</v>
      </c>
      <c r="F18" s="162"/>
    </row>
    <row r="19" spans="1:6" ht="14.25">
      <c r="A19" s="94"/>
      <c r="B19" s="185"/>
      <c r="C19" s="171"/>
      <c r="D19" s="173"/>
      <c r="E19" s="169"/>
      <c r="F19" s="162"/>
    </row>
    <row r="20" spans="1:6" ht="51">
      <c r="A20" s="94" t="s">
        <v>224</v>
      </c>
      <c r="B20" s="193" t="s">
        <v>196</v>
      </c>
      <c r="C20" s="171" t="s">
        <v>21</v>
      </c>
      <c r="D20" s="173">
        <v>1</v>
      </c>
      <c r="E20" s="169">
        <f>+E18</f>
        <v>107.625</v>
      </c>
      <c r="F20" s="162"/>
    </row>
    <row r="21" spans="1:6" ht="14.25">
      <c r="A21" s="94"/>
      <c r="B21" s="185"/>
      <c r="C21" s="171"/>
      <c r="D21" s="173"/>
      <c r="E21" s="169"/>
      <c r="F21" s="162"/>
    </row>
    <row r="22" spans="1:5" ht="25.5">
      <c r="A22" s="94" t="s">
        <v>225</v>
      </c>
      <c r="B22" s="185" t="s">
        <v>230</v>
      </c>
      <c r="C22" s="171"/>
      <c r="D22" s="173"/>
      <c r="E22" s="177"/>
    </row>
    <row r="23" spans="1:5" ht="14.25">
      <c r="A23" s="94"/>
      <c r="B23" s="176" t="s">
        <v>134</v>
      </c>
      <c r="C23" s="171" t="s">
        <v>21</v>
      </c>
      <c r="D23" s="173">
        <v>3</v>
      </c>
      <c r="E23" s="178">
        <v>1.4</v>
      </c>
    </row>
    <row r="24" spans="1:5" ht="14.25">
      <c r="A24" s="94"/>
      <c r="B24" s="176" t="s">
        <v>158</v>
      </c>
      <c r="C24" s="171" t="s">
        <v>21</v>
      </c>
      <c r="D24" s="173">
        <v>3</v>
      </c>
      <c r="E24" s="178">
        <f>2.5*0.5*1.05</f>
        <v>1.3125</v>
      </c>
    </row>
    <row r="25" spans="1:5" ht="25.5">
      <c r="A25" s="94"/>
      <c r="B25" s="176" t="s">
        <v>159</v>
      </c>
      <c r="C25" s="171" t="s">
        <v>21</v>
      </c>
      <c r="D25" s="173">
        <v>3</v>
      </c>
      <c r="E25" s="178">
        <f>2.5*0.3*1.05</f>
        <v>0.7875000000000001</v>
      </c>
    </row>
    <row r="26" spans="1:5" ht="38.25">
      <c r="A26" s="94"/>
      <c r="B26" s="176" t="s">
        <v>160</v>
      </c>
      <c r="C26" s="171" t="s">
        <v>21</v>
      </c>
      <c r="D26" s="173">
        <v>3</v>
      </c>
      <c r="E26" s="178">
        <f>6*0.2</f>
        <v>1.2000000000000002</v>
      </c>
    </row>
    <row r="27" spans="1:5" ht="25.5">
      <c r="A27" s="94"/>
      <c r="B27" s="176" t="s">
        <v>231</v>
      </c>
      <c r="C27" s="171" t="s">
        <v>29</v>
      </c>
      <c r="D27" s="173"/>
      <c r="E27" s="169">
        <v>2</v>
      </c>
    </row>
    <row r="28" spans="1:5" ht="25.5">
      <c r="A28" s="94"/>
      <c r="B28" s="176" t="s">
        <v>161</v>
      </c>
      <c r="C28" s="171" t="s">
        <v>21</v>
      </c>
      <c r="D28" s="173">
        <v>2</v>
      </c>
      <c r="E28" s="169">
        <v>2</v>
      </c>
    </row>
    <row r="29" spans="1:5" ht="14.25">
      <c r="A29" s="94"/>
      <c r="B29" s="190"/>
      <c r="C29" s="155"/>
      <c r="D29" s="157"/>
      <c r="E29" s="156"/>
    </row>
    <row r="30" spans="1:5" ht="63.75">
      <c r="A30" s="94" t="s">
        <v>226</v>
      </c>
      <c r="B30" s="191" t="s">
        <v>143</v>
      </c>
      <c r="C30" s="171" t="s">
        <v>142</v>
      </c>
      <c r="D30" s="172"/>
      <c r="E30" s="183">
        <v>4</v>
      </c>
    </row>
    <row r="31" spans="1:4" ht="14.25">
      <c r="A31" s="94"/>
      <c r="B31" s="122"/>
      <c r="D31" s="92"/>
    </row>
    <row r="32" spans="1:5" ht="38.25">
      <c r="A32" s="94" t="s">
        <v>227</v>
      </c>
      <c r="B32" s="122" t="s">
        <v>232</v>
      </c>
      <c r="C32" s="8" t="s">
        <v>21</v>
      </c>
      <c r="D32" s="92">
        <v>2</v>
      </c>
      <c r="E32" s="168">
        <v>20</v>
      </c>
    </row>
    <row r="33" spans="1:5" ht="12.75">
      <c r="A33" s="94"/>
      <c r="B33" s="122"/>
      <c r="C33" s="1"/>
      <c r="E33" s="1"/>
    </row>
    <row r="34" spans="1:5" ht="25.5">
      <c r="A34" s="94" t="s">
        <v>228</v>
      </c>
      <c r="B34" s="176" t="s">
        <v>182</v>
      </c>
      <c r="C34" s="171"/>
      <c r="D34" s="173"/>
      <c r="E34" s="177"/>
    </row>
    <row r="35" spans="1:5" ht="14.25">
      <c r="A35" s="94"/>
      <c r="B35" s="176" t="s">
        <v>162</v>
      </c>
      <c r="C35" s="171" t="s">
        <v>29</v>
      </c>
      <c r="D35" s="173"/>
      <c r="E35" s="169">
        <v>3</v>
      </c>
    </row>
    <row r="36" spans="1:5" ht="14.25">
      <c r="A36" s="94"/>
      <c r="B36" s="176" t="s">
        <v>178</v>
      </c>
      <c r="C36" s="171" t="s">
        <v>29</v>
      </c>
      <c r="D36" s="173"/>
      <c r="E36" s="169">
        <v>7</v>
      </c>
    </row>
    <row r="37" spans="1:5" ht="14.25">
      <c r="A37" s="94"/>
      <c r="B37" s="176" t="s">
        <v>177</v>
      </c>
      <c r="C37" s="171" t="s">
        <v>86</v>
      </c>
      <c r="D37" s="173"/>
      <c r="E37" s="169">
        <f>3*2</f>
        <v>6</v>
      </c>
    </row>
    <row r="38" spans="3:5" ht="12.75">
      <c r="C38" s="1"/>
      <c r="E38" s="1"/>
    </row>
    <row r="39" spans="1:7" ht="18">
      <c r="A39" s="123"/>
      <c r="B39" s="192" t="s">
        <v>201</v>
      </c>
      <c r="C39" s="124"/>
      <c r="D39" s="125"/>
      <c r="E39" s="126"/>
      <c r="F39" s="126"/>
      <c r="G39" s="127"/>
    </row>
    <row r="40" spans="2:4" ht="12.75">
      <c r="B40" s="35"/>
      <c r="D40" s="36"/>
    </row>
    <row r="41" ht="12.75">
      <c r="B41" s="35"/>
    </row>
  </sheetData>
  <sheetProtection/>
  <printOptions/>
  <pageMargins left="0.984251968503937" right="0.1968503937007874" top="0.984251968503937" bottom="0.984251968503937" header="0.1968503937007874" footer="0.1968503937007874"/>
  <pageSetup horizontalDpi="600" verticalDpi="600" orientation="portrait" paperSize="9" r:id="rId1"/>
  <headerFooter alignWithMargins="0">
    <oddHeader>&amp;L&amp;D
&amp;F&amp;CPROJEKT-INVEST d.o.o.&amp;R&amp;A</oddHeader>
    <oddFooter>&amp;R&amp;P</oddFooter>
  </headerFooter>
</worksheet>
</file>

<file path=xl/worksheets/sheet4.xml><?xml version="1.0" encoding="utf-8"?>
<worksheet xmlns="http://schemas.openxmlformats.org/spreadsheetml/2006/main" xmlns:r="http://schemas.openxmlformats.org/officeDocument/2006/relationships">
  <dimension ref="A1:G40"/>
  <sheetViews>
    <sheetView zoomScalePageLayoutView="0" workbookViewId="0" topLeftCell="A26">
      <selection activeCell="B30" sqref="B30"/>
    </sheetView>
  </sheetViews>
  <sheetFormatPr defaultColWidth="9" defaultRowHeight="14.25"/>
  <cols>
    <col min="1" max="1" width="4.5" style="9" customWidth="1"/>
    <col min="2" max="2" width="38.19921875" style="1" customWidth="1"/>
    <col min="3" max="3" width="5" style="8" customWidth="1"/>
    <col min="4" max="4" width="2.19921875" style="1" customWidth="1"/>
    <col min="5" max="5" width="6.69921875" style="4" customWidth="1"/>
    <col min="6" max="6" width="10.09765625" style="4" customWidth="1"/>
    <col min="7" max="7" width="15.69921875" style="5" customWidth="1"/>
    <col min="8" max="16384" width="9" style="1" customWidth="1"/>
  </cols>
  <sheetData>
    <row r="1" ht="12.75">
      <c r="C1" s="4"/>
    </row>
    <row r="2" spans="1:2" ht="18">
      <c r="A2" s="101" t="s">
        <v>65</v>
      </c>
      <c r="B2" s="14" t="s">
        <v>102</v>
      </c>
    </row>
    <row r="3" ht="12.75">
      <c r="B3" s="11"/>
    </row>
    <row r="4" spans="1:7" ht="39.75" customHeight="1">
      <c r="A4" s="248" t="s">
        <v>147</v>
      </c>
      <c r="B4" s="249"/>
      <c r="C4" s="249"/>
      <c r="D4" s="249"/>
      <c r="E4" s="249"/>
      <c r="F4" s="249"/>
      <c r="G4" s="249"/>
    </row>
    <row r="5" spans="1:7" ht="30.75" customHeight="1">
      <c r="A5" s="247" t="s">
        <v>103</v>
      </c>
      <c r="B5" s="244"/>
      <c r="C5" s="244"/>
      <c r="D5" s="244"/>
      <c r="E5" s="244"/>
      <c r="F5" s="244"/>
      <c r="G5" s="117"/>
    </row>
    <row r="6" spans="1:7" ht="33.75" customHeight="1">
      <c r="A6" s="247" t="s">
        <v>148</v>
      </c>
      <c r="B6" s="244"/>
      <c r="C6" s="244"/>
      <c r="D6" s="244"/>
      <c r="E6" s="244"/>
      <c r="F6" s="244"/>
      <c r="G6" s="120"/>
    </row>
    <row r="7" spans="1:7" ht="40.5" customHeight="1">
      <c r="A7" s="247" t="s">
        <v>137</v>
      </c>
      <c r="B7" s="244"/>
      <c r="C7" s="244"/>
      <c r="D7" s="244"/>
      <c r="E7" s="244"/>
      <c r="F7" s="244"/>
      <c r="G7" s="159"/>
    </row>
    <row r="8" spans="1:7" ht="21.75" customHeight="1">
      <c r="A8" s="247" t="s">
        <v>149</v>
      </c>
      <c r="B8" s="244"/>
      <c r="C8" s="244"/>
      <c r="D8" s="244"/>
      <c r="E8" s="244"/>
      <c r="F8" s="244"/>
      <c r="G8" s="117"/>
    </row>
    <row r="9" spans="1:7" ht="14.25">
      <c r="A9" s="247" t="s">
        <v>136</v>
      </c>
      <c r="B9" s="244"/>
      <c r="C9" s="244"/>
      <c r="D9" s="244"/>
      <c r="E9" s="244"/>
      <c r="F9" s="244"/>
      <c r="G9" s="117"/>
    </row>
    <row r="10" spans="1:7" ht="44.25" customHeight="1">
      <c r="A10" s="247" t="s">
        <v>234</v>
      </c>
      <c r="B10" s="244"/>
      <c r="C10" s="244"/>
      <c r="D10" s="244"/>
      <c r="E10" s="244"/>
      <c r="F10" s="244"/>
      <c r="G10" s="117"/>
    </row>
    <row r="11" spans="1:7" ht="33.75" customHeight="1">
      <c r="A11" s="247" t="s">
        <v>150</v>
      </c>
      <c r="B11" s="244"/>
      <c r="C11" s="244"/>
      <c r="D11" s="244"/>
      <c r="E11" s="244"/>
      <c r="F11" s="244"/>
      <c r="G11" s="117"/>
    </row>
    <row r="12" spans="1:7" ht="14.25">
      <c r="A12" s="120"/>
      <c r="B12" s="105"/>
      <c r="C12" s="105"/>
      <c r="D12" s="105"/>
      <c r="E12" s="105"/>
      <c r="F12" s="105"/>
      <c r="G12" s="117"/>
    </row>
    <row r="13" ht="18">
      <c r="B13" s="14"/>
    </row>
    <row r="14" spans="1:7" ht="151.5" customHeight="1">
      <c r="A14" s="94" t="s">
        <v>36</v>
      </c>
      <c r="B14" s="112" t="s">
        <v>151</v>
      </c>
      <c r="C14" s="8" t="s">
        <v>21</v>
      </c>
      <c r="D14" s="36" t="s">
        <v>35</v>
      </c>
      <c r="E14" s="168">
        <f>(66+54+30)*1.1</f>
        <v>165</v>
      </c>
      <c r="G14" s="162"/>
    </row>
    <row r="15" spans="1:2" ht="15">
      <c r="A15" s="94"/>
      <c r="B15" s="118"/>
    </row>
    <row r="16" spans="1:2" ht="109.5" customHeight="1">
      <c r="A16" s="94" t="s">
        <v>37</v>
      </c>
      <c r="B16" s="112" t="s">
        <v>312</v>
      </c>
    </row>
    <row r="17" spans="1:5" ht="14.25">
      <c r="A17" s="94"/>
      <c r="B17" s="119" t="s">
        <v>169</v>
      </c>
      <c r="C17" s="8" t="s">
        <v>21</v>
      </c>
      <c r="D17" s="92">
        <v>2</v>
      </c>
      <c r="E17" s="168">
        <f>SUM((0.45+0.5)*(7.2+16.1))*1.05</f>
        <v>23.24175</v>
      </c>
    </row>
    <row r="18" spans="1:5" ht="25.5">
      <c r="A18" s="94"/>
      <c r="B18" s="119" t="s">
        <v>170</v>
      </c>
      <c r="C18" s="8" t="s">
        <v>21</v>
      </c>
      <c r="D18" s="92">
        <v>2</v>
      </c>
      <c r="E18" s="169">
        <f>SUM(1*(38.2+2.9))*1.05</f>
        <v>43.155</v>
      </c>
    </row>
    <row r="19" spans="1:5" ht="14.25">
      <c r="A19" s="94"/>
      <c r="B19" s="119" t="s">
        <v>104</v>
      </c>
      <c r="C19" s="8" t="s">
        <v>21</v>
      </c>
      <c r="D19" s="92">
        <v>2</v>
      </c>
      <c r="E19" s="168">
        <f>SUM((29.8+9.6+2.9)*0.4)*1.05</f>
        <v>17.766</v>
      </c>
    </row>
    <row r="20" spans="1:2" ht="15">
      <c r="A20" s="94"/>
      <c r="B20" s="118"/>
    </row>
    <row r="21" spans="1:2" ht="104.25" customHeight="1">
      <c r="A21" s="94" t="s">
        <v>0</v>
      </c>
      <c r="B21" s="112" t="s">
        <v>313</v>
      </c>
    </row>
    <row r="22" spans="1:5" ht="14.25">
      <c r="A22" s="94"/>
      <c r="B22" s="119" t="s">
        <v>314</v>
      </c>
      <c r="C22" s="8" t="s">
        <v>21</v>
      </c>
      <c r="D22" s="92">
        <v>2</v>
      </c>
      <c r="E22" s="168">
        <v>26</v>
      </c>
    </row>
    <row r="23" spans="1:5" ht="14.25">
      <c r="A23" s="94"/>
      <c r="B23" s="119" t="s">
        <v>104</v>
      </c>
      <c r="C23" s="8" t="s">
        <v>21</v>
      </c>
      <c r="D23" s="92">
        <v>2</v>
      </c>
      <c r="E23" s="168">
        <f>SUM(47*0.35)*1.05</f>
        <v>17.2725</v>
      </c>
    </row>
    <row r="24" spans="1:2" ht="15">
      <c r="A24" s="94"/>
      <c r="B24" s="118"/>
    </row>
    <row r="25" spans="1:2" ht="125.25" customHeight="1">
      <c r="A25" s="94" t="s">
        <v>3</v>
      </c>
      <c r="B25" s="112" t="s">
        <v>315</v>
      </c>
    </row>
    <row r="26" spans="1:5" ht="12.75">
      <c r="A26" s="94"/>
      <c r="B26" s="170" t="s">
        <v>172</v>
      </c>
      <c r="C26" s="171" t="s">
        <v>21</v>
      </c>
      <c r="D26" s="172" t="s">
        <v>35</v>
      </c>
      <c r="E26" s="169">
        <v>96</v>
      </c>
    </row>
    <row r="27" spans="1:5" ht="12.75">
      <c r="A27" s="94"/>
      <c r="B27" s="170" t="s">
        <v>171</v>
      </c>
      <c r="C27" s="171" t="s">
        <v>21</v>
      </c>
      <c r="D27" s="172" t="s">
        <v>35</v>
      </c>
      <c r="E27" s="169">
        <f>72*1.05</f>
        <v>75.60000000000001</v>
      </c>
    </row>
    <row r="28" spans="1:5" ht="12.75">
      <c r="A28" s="94"/>
      <c r="B28" s="170" t="s">
        <v>316</v>
      </c>
      <c r="C28" s="171" t="s">
        <v>317</v>
      </c>
      <c r="D28" s="172"/>
      <c r="E28" s="169">
        <v>390</v>
      </c>
    </row>
    <row r="29" spans="1:4" ht="14.25">
      <c r="A29" s="94"/>
      <c r="B29" s="121"/>
      <c r="D29" s="92"/>
    </row>
    <row r="30" spans="1:5" ht="66" customHeight="1">
      <c r="A30" s="94" t="s">
        <v>140</v>
      </c>
      <c r="B30" s="174" t="s">
        <v>141</v>
      </c>
      <c r="C30" s="175"/>
      <c r="E30" s="1"/>
    </row>
    <row r="31" spans="1:5" ht="14.25">
      <c r="A31" s="94"/>
      <c r="B31" s="121" t="s">
        <v>153</v>
      </c>
      <c r="C31" s="171" t="s">
        <v>21</v>
      </c>
      <c r="D31" s="173">
        <v>1</v>
      </c>
      <c r="E31" s="169">
        <f>((7*1.6)+(5*4))*1.05</f>
        <v>32.760000000000005</v>
      </c>
    </row>
    <row r="32" spans="1:5" ht="14.25">
      <c r="A32" s="94"/>
      <c r="B32" s="121" t="s">
        <v>173</v>
      </c>
      <c r="C32" s="171" t="s">
        <v>21</v>
      </c>
      <c r="D32" s="173">
        <v>1</v>
      </c>
      <c r="E32" s="169">
        <f>(68.5+32.2+23.2)*1.05</f>
        <v>130.095</v>
      </c>
    </row>
    <row r="33" spans="1:5" ht="14.25">
      <c r="A33" s="94"/>
      <c r="B33" s="170" t="s">
        <v>174</v>
      </c>
      <c r="C33" s="171" t="s">
        <v>21</v>
      </c>
      <c r="D33" s="173">
        <v>1</v>
      </c>
      <c r="E33" s="169">
        <f>80.6*1.05</f>
        <v>84.63</v>
      </c>
    </row>
    <row r="34" spans="1:5" ht="14.25">
      <c r="A34" s="94"/>
      <c r="B34" s="170" t="s">
        <v>152</v>
      </c>
      <c r="C34" s="171" t="s">
        <v>21</v>
      </c>
      <c r="D34" s="173">
        <v>1</v>
      </c>
      <c r="E34" s="169">
        <f>(38.2+6.5)*1.05</f>
        <v>46.935</v>
      </c>
    </row>
    <row r="35" spans="1:5" ht="14.25">
      <c r="A35" s="94"/>
      <c r="B35" s="170" t="s">
        <v>175</v>
      </c>
      <c r="C35" s="171" t="s">
        <v>21</v>
      </c>
      <c r="D35" s="173">
        <v>1</v>
      </c>
      <c r="E35" s="169">
        <f>SUM(E31:E34)</f>
        <v>294.42</v>
      </c>
    </row>
    <row r="36" spans="1:4" ht="14.25">
      <c r="A36" s="94"/>
      <c r="B36" s="121"/>
      <c r="D36" s="92"/>
    </row>
    <row r="37" spans="1:5" ht="63" customHeight="1">
      <c r="A37" s="94" t="s">
        <v>183</v>
      </c>
      <c r="B37" s="174" t="s">
        <v>235</v>
      </c>
      <c r="C37" s="171" t="s">
        <v>21</v>
      </c>
      <c r="D37" s="173">
        <v>1</v>
      </c>
      <c r="E37" s="169">
        <f>8*1.7*1.05</f>
        <v>14.28</v>
      </c>
    </row>
    <row r="38" spans="1:4" ht="14.25">
      <c r="A38" s="94"/>
      <c r="B38" s="121"/>
      <c r="D38" s="92"/>
    </row>
    <row r="39" spans="1:4" ht="14.25">
      <c r="A39" s="94"/>
      <c r="B39" s="121"/>
      <c r="D39" s="92"/>
    </row>
    <row r="40" spans="1:7" ht="18.75">
      <c r="A40" s="116"/>
      <c r="B40" s="204" t="s">
        <v>102</v>
      </c>
      <c r="C40" s="42"/>
      <c r="D40" s="43"/>
      <c r="E40" s="44"/>
      <c r="F40" s="45"/>
      <c r="G40" s="51"/>
    </row>
  </sheetData>
  <sheetProtection/>
  <mergeCells count="8">
    <mergeCell ref="A8:F8"/>
    <mergeCell ref="A9:F9"/>
    <mergeCell ref="A10:F10"/>
    <mergeCell ref="A11:F11"/>
    <mergeCell ref="A4:G4"/>
    <mergeCell ref="A5:F5"/>
    <mergeCell ref="A6:F6"/>
    <mergeCell ref="A7:F7"/>
  </mergeCells>
  <printOptions/>
  <pageMargins left="0.984251968503937" right="0.1968503937007874" top="0.984251968503937" bottom="0.984251968503937" header="0.1968503937007874" footer="0.1968503937007874"/>
  <pageSetup horizontalDpi="600" verticalDpi="600" orientation="portrait" paperSize="9" r:id="rId1"/>
  <headerFooter alignWithMargins="0">
    <oddHeader>&amp;L&amp;D
&amp;F&amp;CPROJEKT-INVEST d.o.o.&amp;R&amp;A</oddHeader>
    <oddFooter>&amp;R&amp;P</oddFooter>
  </headerFooter>
</worksheet>
</file>

<file path=xl/worksheets/sheet5.xml><?xml version="1.0" encoding="utf-8"?>
<worksheet xmlns="http://schemas.openxmlformats.org/spreadsheetml/2006/main" xmlns:r="http://schemas.openxmlformats.org/officeDocument/2006/relationships">
  <dimension ref="A2:G37"/>
  <sheetViews>
    <sheetView zoomScalePageLayoutView="0" workbookViewId="0" topLeftCell="A16">
      <selection activeCell="E24" sqref="E24"/>
    </sheetView>
  </sheetViews>
  <sheetFormatPr defaultColWidth="9" defaultRowHeight="14.25"/>
  <cols>
    <col min="1" max="1" width="4.5" style="9" customWidth="1"/>
    <col min="2" max="2" width="35.09765625" style="1" customWidth="1"/>
    <col min="3" max="3" width="5" style="8" customWidth="1"/>
    <col min="4" max="4" width="2.19921875" style="1" customWidth="1"/>
    <col min="5" max="5" width="8.3984375" style="4" customWidth="1"/>
    <col min="6" max="6" width="10.09765625" style="4" customWidth="1"/>
    <col min="7" max="7" width="16.69921875" style="5" customWidth="1"/>
    <col min="8" max="16384" width="9" style="1" customWidth="1"/>
  </cols>
  <sheetData>
    <row r="2" ht="12.75">
      <c r="C2" s="4"/>
    </row>
    <row r="3" spans="1:2" ht="18">
      <c r="A3" s="101" t="s">
        <v>66</v>
      </c>
      <c r="B3" s="14" t="s">
        <v>105</v>
      </c>
    </row>
    <row r="4" ht="12.75">
      <c r="B4" s="11"/>
    </row>
    <row r="5" spans="1:7" ht="15.75" customHeight="1">
      <c r="A5" s="252" t="s">
        <v>30</v>
      </c>
      <c r="B5" s="252"/>
      <c r="C5" s="252"/>
      <c r="D5" s="252"/>
      <c r="E5" s="252"/>
      <c r="F5" s="252"/>
      <c r="G5" s="252"/>
    </row>
    <row r="6" spans="1:7" ht="14.25" customHeight="1">
      <c r="A6" s="250" t="s">
        <v>106</v>
      </c>
      <c r="B6" s="250"/>
      <c r="C6" s="250"/>
      <c r="D6" s="250"/>
      <c r="E6" s="250"/>
      <c r="F6" s="250"/>
      <c r="G6" s="250"/>
    </row>
    <row r="7" spans="1:7" ht="14.25" customHeight="1">
      <c r="A7" s="250" t="s">
        <v>51</v>
      </c>
      <c r="B7" s="250"/>
      <c r="C7" s="250"/>
      <c r="D7" s="250"/>
      <c r="E7" s="250"/>
      <c r="F7" s="250"/>
      <c r="G7" s="250"/>
    </row>
    <row r="8" spans="1:7" ht="14.25" customHeight="1">
      <c r="A8" s="250" t="s">
        <v>70</v>
      </c>
      <c r="B8" s="244"/>
      <c r="C8" s="244"/>
      <c r="D8" s="244"/>
      <c r="E8" s="244"/>
      <c r="F8" s="244"/>
      <c r="G8" s="59"/>
    </row>
    <row r="9" spans="1:7" ht="14.25" customHeight="1">
      <c r="A9" s="250" t="s">
        <v>52</v>
      </c>
      <c r="B9" s="251"/>
      <c r="C9" s="251"/>
      <c r="D9" s="251"/>
      <c r="E9" s="251"/>
      <c r="F9" s="251"/>
      <c r="G9" s="59"/>
    </row>
    <row r="10" spans="1:7" ht="42.75" customHeight="1">
      <c r="A10" s="250" t="s">
        <v>107</v>
      </c>
      <c r="B10" s="251"/>
      <c r="C10" s="251"/>
      <c r="D10" s="251"/>
      <c r="E10" s="251"/>
      <c r="F10" s="251"/>
      <c r="G10" s="117"/>
    </row>
    <row r="11" spans="1:7" ht="14.25" customHeight="1">
      <c r="A11" s="19"/>
      <c r="B11"/>
      <c r="C11" s="117"/>
      <c r="D11" s="117"/>
      <c r="E11" s="117"/>
      <c r="F11" s="117"/>
      <c r="G11" s="117"/>
    </row>
    <row r="12" spans="2:4" ht="12.75" customHeight="1">
      <c r="B12" s="35"/>
      <c r="D12" s="36"/>
    </row>
    <row r="13" spans="1:5" ht="89.25">
      <c r="A13" s="94" t="s">
        <v>94</v>
      </c>
      <c r="B13" s="7" t="s">
        <v>236</v>
      </c>
      <c r="C13" s="8" t="s">
        <v>29</v>
      </c>
      <c r="D13" s="36"/>
      <c r="E13" s="4">
        <v>20</v>
      </c>
    </row>
    <row r="14" spans="1:4" ht="14.25" customHeight="1">
      <c r="A14" s="94"/>
      <c r="B14" s="34"/>
      <c r="D14" s="36"/>
    </row>
    <row r="15" spans="1:5" ht="87" customHeight="1">
      <c r="A15" s="94" t="s">
        <v>108</v>
      </c>
      <c r="B15" s="34" t="s">
        <v>237</v>
      </c>
      <c r="C15" s="8" t="s">
        <v>29</v>
      </c>
      <c r="D15" s="36"/>
      <c r="E15" s="4">
        <v>5</v>
      </c>
    </row>
    <row r="16" spans="1:4" ht="12.75">
      <c r="A16" s="94"/>
      <c r="B16" s="34"/>
      <c r="D16" s="36"/>
    </row>
    <row r="17" spans="1:5" ht="138" customHeight="1">
      <c r="A17" s="94" t="s">
        <v>109</v>
      </c>
      <c r="B17" s="34" t="s">
        <v>238</v>
      </c>
      <c r="C17" s="8" t="s">
        <v>29</v>
      </c>
      <c r="D17" s="36"/>
      <c r="E17" s="4">
        <v>2</v>
      </c>
    </row>
    <row r="18" spans="1:4" ht="12.75">
      <c r="A18" s="94"/>
      <c r="B18" s="35"/>
      <c r="D18" s="36"/>
    </row>
    <row r="19" spans="1:5" ht="28.5" customHeight="1">
      <c r="A19" s="94" t="s">
        <v>110</v>
      </c>
      <c r="B19" s="34" t="s">
        <v>239</v>
      </c>
      <c r="C19" s="8" t="s">
        <v>29</v>
      </c>
      <c r="D19" s="36"/>
      <c r="E19" s="4">
        <v>10</v>
      </c>
    </row>
    <row r="20" spans="1:5" ht="12.75">
      <c r="A20" s="128"/>
      <c r="B20" s="129"/>
      <c r="C20" s="99"/>
      <c r="D20" s="130"/>
      <c r="E20" s="131"/>
    </row>
    <row r="21" spans="1:5" ht="25.5">
      <c r="A21" s="94" t="s">
        <v>111</v>
      </c>
      <c r="B21" s="34" t="s">
        <v>240</v>
      </c>
      <c r="C21" s="8" t="s">
        <v>29</v>
      </c>
      <c r="D21" s="36"/>
      <c r="E21" s="4">
        <v>1</v>
      </c>
    </row>
    <row r="22" spans="1:4" ht="12.75">
      <c r="A22" s="94"/>
      <c r="B22" s="34"/>
      <c r="D22" s="36"/>
    </row>
    <row r="23" spans="1:5" ht="12.75">
      <c r="A23" s="94" t="s">
        <v>318</v>
      </c>
      <c r="B23" s="34" t="s">
        <v>319</v>
      </c>
      <c r="C23" s="8" t="s">
        <v>29</v>
      </c>
      <c r="D23" s="36"/>
      <c r="E23" s="4">
        <v>1</v>
      </c>
    </row>
    <row r="24" spans="1:4" ht="12.75">
      <c r="A24" s="94"/>
      <c r="B24" s="34"/>
      <c r="D24" s="36"/>
    </row>
    <row r="25" spans="1:7" ht="22.5" customHeight="1">
      <c r="A25" s="123"/>
      <c r="B25" s="204" t="s">
        <v>241</v>
      </c>
      <c r="C25" s="124"/>
      <c r="D25" s="125"/>
      <c r="E25" s="126"/>
      <c r="F25" s="126"/>
      <c r="G25" s="127"/>
    </row>
    <row r="26" spans="2:4" ht="12.75">
      <c r="B26" s="35"/>
      <c r="D26" s="36"/>
    </row>
    <row r="27" ht="12.75">
      <c r="B27" s="35"/>
    </row>
    <row r="31" spans="3:7" ht="12.75">
      <c r="C31" s="1"/>
      <c r="E31" s="1"/>
      <c r="F31" s="1"/>
      <c r="G31" s="1"/>
    </row>
    <row r="32" spans="3:7" ht="12.75">
      <c r="C32" s="1"/>
      <c r="E32" s="1"/>
      <c r="F32" s="1"/>
      <c r="G32" s="1"/>
    </row>
    <row r="33" spans="3:7" ht="12.75">
      <c r="C33" s="1"/>
      <c r="E33" s="1"/>
      <c r="F33" s="1"/>
      <c r="G33" s="1"/>
    </row>
    <row r="34" spans="3:7" ht="12.75">
      <c r="C34" s="1"/>
      <c r="E34" s="1"/>
      <c r="F34" s="1"/>
      <c r="G34" s="1"/>
    </row>
    <row r="35" spans="3:7" ht="12.75">
      <c r="C35" s="1"/>
      <c r="E35" s="1"/>
      <c r="F35" s="1"/>
      <c r="G35" s="1"/>
    </row>
    <row r="36" spans="3:7" ht="12.75">
      <c r="C36" s="1"/>
      <c r="E36" s="1"/>
      <c r="F36" s="1"/>
      <c r="G36" s="1"/>
    </row>
    <row r="37" spans="3:7" ht="12.75">
      <c r="C37" s="1"/>
      <c r="E37" s="1"/>
      <c r="F37" s="1"/>
      <c r="G37" s="1"/>
    </row>
  </sheetData>
  <sheetProtection/>
  <mergeCells count="6">
    <mergeCell ref="A10:F10"/>
    <mergeCell ref="A5:G5"/>
    <mergeCell ref="A6:G6"/>
    <mergeCell ref="A7:G7"/>
    <mergeCell ref="A8:F8"/>
    <mergeCell ref="A9:F9"/>
  </mergeCells>
  <printOptions/>
  <pageMargins left="0.984251968503937" right="0.1968503937007874" top="0.984251968503937" bottom="0.984251968503937" header="0.1968503937007874" footer="0.1968503937007874"/>
  <pageSetup horizontalDpi="300" verticalDpi="300" orientation="portrait" paperSize="9" r:id="rId1"/>
  <headerFooter alignWithMargins="0">
    <oddHeader>&amp;L&amp;D
&amp;F&amp;CPROJEKT-INVEST d.o.o.&amp;R&amp;A</oddHeader>
    <oddFooter>&amp;R&amp;P</oddFooter>
  </headerFooter>
</worksheet>
</file>

<file path=xl/worksheets/sheet6.xml><?xml version="1.0" encoding="utf-8"?>
<worksheet xmlns="http://schemas.openxmlformats.org/spreadsheetml/2006/main" xmlns:r="http://schemas.openxmlformats.org/officeDocument/2006/relationships">
  <dimension ref="A2:G21"/>
  <sheetViews>
    <sheetView zoomScale="125" zoomScaleNormal="125" zoomScalePageLayoutView="0" workbookViewId="0" topLeftCell="A16">
      <selection activeCell="B27" sqref="B27"/>
    </sheetView>
  </sheetViews>
  <sheetFormatPr defaultColWidth="9" defaultRowHeight="14.25"/>
  <cols>
    <col min="1" max="1" width="4.5" style="9" customWidth="1"/>
    <col min="2" max="2" width="35.09765625" style="34" customWidth="1"/>
    <col min="3" max="3" width="5" style="8" customWidth="1"/>
    <col min="4" max="4" width="2.19921875" style="1" customWidth="1"/>
    <col min="5" max="5" width="6.69921875" style="4" customWidth="1"/>
    <col min="6" max="6" width="9.3984375" style="4" customWidth="1"/>
    <col min="7" max="7" width="17.69921875" style="5" customWidth="1"/>
    <col min="8" max="16384" width="9" style="1" customWidth="1"/>
  </cols>
  <sheetData>
    <row r="2" ht="12.75">
      <c r="C2" s="4"/>
    </row>
    <row r="3" spans="1:2" ht="18">
      <c r="A3" s="101" t="s">
        <v>67</v>
      </c>
      <c r="B3" s="14" t="s">
        <v>17</v>
      </c>
    </row>
    <row r="5" ht="13.5" customHeight="1">
      <c r="D5" s="3"/>
    </row>
    <row r="6" spans="1:5" ht="48" customHeight="1">
      <c r="A6" s="94" t="s">
        <v>8</v>
      </c>
      <c r="B6" s="34" t="s">
        <v>320</v>
      </c>
      <c r="C6" s="1"/>
      <c r="E6" s="1"/>
    </row>
    <row r="7" spans="1:5" ht="18.75" customHeight="1">
      <c r="A7" s="94" t="s">
        <v>14</v>
      </c>
      <c r="B7" s="7" t="s">
        <v>9</v>
      </c>
      <c r="C7" s="8" t="s">
        <v>20</v>
      </c>
      <c r="D7" s="3"/>
      <c r="E7" s="4">
        <v>1</v>
      </c>
    </row>
    <row r="8" spans="1:5" ht="30" customHeight="1">
      <c r="A8" s="94" t="s">
        <v>14</v>
      </c>
      <c r="B8" s="7" t="s">
        <v>60</v>
      </c>
      <c r="C8" s="8" t="s">
        <v>20</v>
      </c>
      <c r="D8" s="3"/>
      <c r="E8" s="4">
        <v>1</v>
      </c>
    </row>
    <row r="9" spans="1:5" ht="18.75" customHeight="1">
      <c r="A9" s="94" t="s">
        <v>14</v>
      </c>
      <c r="B9" s="7" t="s">
        <v>10</v>
      </c>
      <c r="C9" s="8" t="s">
        <v>20</v>
      </c>
      <c r="D9" s="3"/>
      <c r="E9" s="4">
        <v>0.5</v>
      </c>
    </row>
    <row r="10" spans="1:5" ht="18.75" customHeight="1">
      <c r="A10" s="94" t="s">
        <v>14</v>
      </c>
      <c r="B10" s="7" t="s">
        <v>11</v>
      </c>
      <c r="C10" s="8" t="s">
        <v>20</v>
      </c>
      <c r="D10" s="3"/>
      <c r="E10" s="4">
        <v>0.5</v>
      </c>
    </row>
    <row r="11" spans="1:4" ht="18.75" customHeight="1">
      <c r="A11" s="95"/>
      <c r="B11" s="7"/>
      <c r="D11" s="3"/>
    </row>
    <row r="12" spans="1:4" ht="31.5" customHeight="1">
      <c r="A12" s="94" t="s">
        <v>96</v>
      </c>
      <c r="B12" s="34" t="s">
        <v>321</v>
      </c>
      <c r="D12" s="3"/>
    </row>
    <row r="13" spans="1:5" ht="18.75" customHeight="1">
      <c r="A13" s="94" t="s">
        <v>14</v>
      </c>
      <c r="B13" s="7" t="s">
        <v>9</v>
      </c>
      <c r="C13" s="8" t="s">
        <v>20</v>
      </c>
      <c r="D13" s="3"/>
      <c r="E13" s="4">
        <v>1</v>
      </c>
    </row>
    <row r="14" spans="1:7" ht="18" customHeight="1">
      <c r="A14" s="94" t="s">
        <v>14</v>
      </c>
      <c r="B14" s="7" t="s">
        <v>10</v>
      </c>
      <c r="C14" s="8" t="s">
        <v>20</v>
      </c>
      <c r="D14" s="3"/>
      <c r="E14" s="4">
        <v>1</v>
      </c>
      <c r="F14" s="31"/>
      <c r="G14" s="115"/>
    </row>
    <row r="15" spans="1:7" ht="18">
      <c r="A15" s="94" t="s">
        <v>14</v>
      </c>
      <c r="B15" s="7" t="s">
        <v>11</v>
      </c>
      <c r="C15" s="8" t="s">
        <v>20</v>
      </c>
      <c r="D15" s="3"/>
      <c r="E15" s="4">
        <v>1</v>
      </c>
      <c r="F15" s="132"/>
      <c r="G15" s="133"/>
    </row>
    <row r="16" spans="1:7" ht="20.25">
      <c r="A16" s="95"/>
      <c r="B16" s="7"/>
      <c r="D16" s="3"/>
      <c r="G16" s="12"/>
    </row>
    <row r="17" spans="1:7" ht="51">
      <c r="A17" s="94" t="s">
        <v>98</v>
      </c>
      <c r="B17" s="34" t="s">
        <v>112</v>
      </c>
      <c r="C17" s="8" t="s">
        <v>29</v>
      </c>
      <c r="D17" s="3"/>
      <c r="E17" s="4">
        <v>1</v>
      </c>
      <c r="G17" s="12"/>
    </row>
    <row r="18" spans="1:7" ht="20.25">
      <c r="A18" s="95"/>
      <c r="B18" s="7"/>
      <c r="D18" s="3"/>
      <c r="G18" s="12"/>
    </row>
    <row r="19" spans="1:5" ht="71.25" customHeight="1">
      <c r="A19" s="94" t="s">
        <v>113</v>
      </c>
      <c r="B19" s="34" t="s">
        <v>242</v>
      </c>
      <c r="C19" s="8" t="s">
        <v>29</v>
      </c>
      <c r="D19" s="3"/>
      <c r="E19" s="4">
        <v>1</v>
      </c>
    </row>
    <row r="21" spans="1:7" ht="18">
      <c r="A21" s="123"/>
      <c r="B21" s="204" t="s">
        <v>17</v>
      </c>
      <c r="C21" s="124"/>
      <c r="D21" s="125"/>
      <c r="E21" s="126"/>
      <c r="F21" s="126"/>
      <c r="G21" s="127"/>
    </row>
  </sheetData>
  <sheetProtection/>
  <printOptions/>
  <pageMargins left="0.984251968503937" right="0.1968503937007874" top="0.984251968503937" bottom="0.984251968503937" header="0.1968503937007874" footer="0.1968503937007874"/>
  <pageSetup horizontalDpi="600" verticalDpi="600" orientation="portrait" paperSize="9" r:id="rId1"/>
  <headerFooter alignWithMargins="0">
    <oddHeader>&amp;L&amp;D
&amp;F&amp;CPROJEKT-INVEST d.o.o.&amp;R&amp;A</oddHeader>
    <oddFooter>&amp;R&amp;P</oddFooter>
  </headerFooter>
</worksheet>
</file>

<file path=xl/worksheets/sheet7.xml><?xml version="1.0" encoding="utf-8"?>
<worksheet xmlns="http://schemas.openxmlformats.org/spreadsheetml/2006/main" xmlns:r="http://schemas.openxmlformats.org/officeDocument/2006/relationships">
  <dimension ref="A2:G11"/>
  <sheetViews>
    <sheetView zoomScalePageLayoutView="0" workbookViewId="0" topLeftCell="A1">
      <selection activeCell="B13" sqref="B13"/>
    </sheetView>
  </sheetViews>
  <sheetFormatPr defaultColWidth="9" defaultRowHeight="14.25"/>
  <cols>
    <col min="1" max="1" width="4.5" style="9" customWidth="1"/>
    <col min="2" max="2" width="35.09765625" style="1" customWidth="1"/>
    <col min="3" max="3" width="5" style="8" customWidth="1"/>
    <col min="4" max="4" width="2.19921875" style="1" customWidth="1"/>
    <col min="5" max="5" width="6.69921875" style="4" customWidth="1"/>
    <col min="6" max="6" width="10.09765625" style="4" customWidth="1"/>
    <col min="7" max="7" width="17.59765625" style="5" customWidth="1"/>
    <col min="8" max="16384" width="9" style="1" customWidth="1"/>
  </cols>
  <sheetData>
    <row r="2" ht="12.75">
      <c r="C2" s="4"/>
    </row>
    <row r="3" spans="1:2" ht="18">
      <c r="A3" s="101" t="s">
        <v>68</v>
      </c>
      <c r="B3" s="14" t="s">
        <v>28</v>
      </c>
    </row>
    <row r="4" spans="1:7" s="2" customFormat="1" ht="12.75">
      <c r="A4" s="9"/>
      <c r="B4" s="11"/>
      <c r="C4" s="8"/>
      <c r="D4" s="1"/>
      <c r="E4" s="4"/>
      <c r="F4" s="4"/>
      <c r="G4" s="5"/>
    </row>
    <row r="5" spans="1:5" ht="14.25">
      <c r="A5" s="94" t="s">
        <v>39</v>
      </c>
      <c r="B5" s="7" t="s">
        <v>19</v>
      </c>
      <c r="C5" s="8" t="s">
        <v>20</v>
      </c>
      <c r="D5" s="3"/>
      <c r="E5" s="4">
        <v>5</v>
      </c>
    </row>
    <row r="6" spans="2:7" ht="14.25">
      <c r="B6" s="7"/>
      <c r="D6" s="3"/>
      <c r="G6" s="5" t="s">
        <v>23</v>
      </c>
    </row>
    <row r="7" spans="1:7" ht="18.75">
      <c r="A7" s="116"/>
      <c r="B7" s="204" t="s">
        <v>28</v>
      </c>
      <c r="C7" s="42"/>
      <c r="D7" s="43"/>
      <c r="E7" s="44"/>
      <c r="F7" s="45"/>
      <c r="G7" s="51"/>
    </row>
    <row r="8" spans="5:7" ht="12.75">
      <c r="E8" s="4" t="s">
        <v>23</v>
      </c>
      <c r="F8" s="4" t="s">
        <v>23</v>
      </c>
      <c r="G8" s="5" t="s">
        <v>23</v>
      </c>
    </row>
    <row r="9" ht="12.75">
      <c r="G9" s="5" t="s">
        <v>23</v>
      </c>
    </row>
    <row r="10" spans="2:7" ht="14.25">
      <c r="B10" s="7"/>
      <c r="D10" s="3"/>
      <c r="G10" s="5" t="s">
        <v>23</v>
      </c>
    </row>
    <row r="11" ht="12.75">
      <c r="G11" s="5" t="s">
        <v>23</v>
      </c>
    </row>
  </sheetData>
  <sheetProtection/>
  <printOptions/>
  <pageMargins left="0.984251968503937" right="0.1968503937007874" top="0.984251968503937" bottom="0.984251968503937" header="0.1968503937007874" footer="0.1968503937007874"/>
  <pageSetup horizontalDpi="600" verticalDpi="600" orientation="portrait" paperSize="9" r:id="rId1"/>
  <headerFooter alignWithMargins="0">
    <oddHeader>&amp;L&amp;D
&amp;F&amp;CPROJEKT-INVEST d.o.o.&amp;R&amp;A</oddHeader>
    <oddFooter>&amp;R&amp;P</oddFooter>
  </headerFooter>
</worksheet>
</file>

<file path=xl/worksheets/sheet8.xml><?xml version="1.0" encoding="utf-8"?>
<worksheet xmlns="http://schemas.openxmlformats.org/spreadsheetml/2006/main" xmlns:r="http://schemas.openxmlformats.org/officeDocument/2006/relationships">
  <dimension ref="A2:G14"/>
  <sheetViews>
    <sheetView zoomScalePageLayoutView="0" workbookViewId="0" topLeftCell="A1">
      <selection activeCell="B5" sqref="B5"/>
    </sheetView>
  </sheetViews>
  <sheetFormatPr defaultColWidth="9" defaultRowHeight="14.25"/>
  <cols>
    <col min="1" max="1" width="4.5" style="9" customWidth="1"/>
    <col min="2" max="2" width="35.09765625" style="1" customWidth="1"/>
    <col min="3" max="3" width="5" style="8" customWidth="1"/>
    <col min="4" max="4" width="2.19921875" style="1" customWidth="1"/>
    <col min="5" max="5" width="6.69921875" style="4" customWidth="1"/>
    <col min="6" max="6" width="5.8984375" style="4" customWidth="1"/>
    <col min="7" max="7" width="19.69921875" style="5" customWidth="1"/>
    <col min="8" max="16384" width="9" style="1" customWidth="1"/>
  </cols>
  <sheetData>
    <row r="2" ht="12.75">
      <c r="C2" s="4"/>
    </row>
    <row r="3" ht="18">
      <c r="B3" s="194" t="s">
        <v>200</v>
      </c>
    </row>
    <row r="4" ht="18">
      <c r="B4" s="14"/>
    </row>
    <row r="5" ht="18">
      <c r="B5" s="14" t="str">
        <f>+'Zunanja ureditev -  ZU'!B4</f>
        <v>ZUNANJA UREDITEV OBJEKTA - ŠPITAL Gornja Radgona</v>
      </c>
    </row>
    <row r="6" ht="18">
      <c r="B6" s="14"/>
    </row>
    <row r="7" spans="1:2" ht="18">
      <c r="A7" s="134"/>
      <c r="B7" s="14" t="str">
        <f>+'1-Pripravljalna dela ZU'!B47:F47</f>
        <v>Pripravljalna in rušitvena dela:</v>
      </c>
    </row>
    <row r="8" spans="1:2" ht="18">
      <c r="A8" s="134"/>
      <c r="B8" s="14" t="str">
        <f>+'2-Ureditev okolice ZU'!B39</f>
        <v>Ureditev okolice:</v>
      </c>
    </row>
    <row r="9" spans="1:2" ht="18">
      <c r="A9" s="134"/>
      <c r="B9" s="14" t="str">
        <f>+'3-Kamnoseška dela ZU '!B2</f>
        <v>Kamnoseška dela:</v>
      </c>
    </row>
    <row r="10" spans="1:2" ht="18">
      <c r="A10" s="134"/>
      <c r="B10" s="14" t="str">
        <f>+'4-Zunanja razsvetljava ZU'!B3</f>
        <v>Zunanja razsvetljava:</v>
      </c>
    </row>
    <row r="11" spans="1:7" ht="18">
      <c r="A11" s="134"/>
      <c r="B11" s="14" t="str">
        <f>'5-Razna dela ZU'!B3</f>
        <v>Razna dela:</v>
      </c>
      <c r="G11" s="27"/>
    </row>
    <row r="12" spans="1:7" ht="18">
      <c r="A12" s="135"/>
      <c r="B12" s="136" t="str">
        <f>'6-Nepredvidena dela ZU'!B3</f>
        <v>Nepredvidena dela:</v>
      </c>
      <c r="C12" s="29"/>
      <c r="D12" s="67"/>
      <c r="E12" s="31"/>
      <c r="F12" s="31"/>
      <c r="G12" s="33"/>
    </row>
    <row r="13" spans="1:7" ht="18">
      <c r="A13" s="137"/>
      <c r="B13" s="138" t="s">
        <v>12</v>
      </c>
      <c r="C13" s="124"/>
      <c r="D13" s="139"/>
      <c r="E13" s="126"/>
      <c r="F13" s="126"/>
      <c r="G13" s="140"/>
    </row>
    <row r="14" spans="2:7" ht="18">
      <c r="B14" s="13"/>
      <c r="D14" s="3"/>
      <c r="G14" s="33"/>
    </row>
  </sheetData>
  <sheetProtection/>
  <printOptions/>
  <pageMargins left="0.984251968503937" right="0.1968503937007874" top="0.984251968503937" bottom="0.984251968503937" header="0.3937007874015748" footer="0.1968503937007874"/>
  <pageSetup horizontalDpi="600" verticalDpi="600" orientation="portrait" paperSize="9" r:id="rId1"/>
  <headerFooter alignWithMargins="0">
    <oddHeader>&amp;L&amp;D
&amp;F&amp;CPROJEKT-INVEST d.o.o.&amp;R&amp;A</oddHeader>
    <oddFooter>&amp;R&amp;P</oddFooter>
  </headerFooter>
</worksheet>
</file>

<file path=xl/worksheets/sheet9.xml><?xml version="1.0" encoding="utf-8"?>
<worksheet xmlns="http://schemas.openxmlformats.org/spreadsheetml/2006/main" xmlns:r="http://schemas.openxmlformats.org/officeDocument/2006/relationships">
  <dimension ref="B2:B4"/>
  <sheetViews>
    <sheetView zoomScalePageLayoutView="0" workbookViewId="0" topLeftCell="A1">
      <selection activeCell="M24" sqref="M24"/>
    </sheetView>
  </sheetViews>
  <sheetFormatPr defaultColWidth="9" defaultRowHeight="14.25"/>
  <cols>
    <col min="1" max="1" width="4.5" style="9" customWidth="1"/>
    <col min="2" max="2" width="35.09765625" style="1" customWidth="1"/>
    <col min="3" max="3" width="5.19921875" style="8" customWidth="1"/>
    <col min="4" max="4" width="2.5" style="1" customWidth="1"/>
    <col min="5" max="5" width="8.3984375" style="4" customWidth="1"/>
    <col min="6" max="6" width="8.59765625" style="4" customWidth="1"/>
    <col min="7" max="7" width="16.19921875" style="5" customWidth="1"/>
    <col min="8" max="16384" width="9" style="1" customWidth="1"/>
  </cols>
  <sheetData>
    <row r="2" ht="20.25">
      <c r="B2" s="161" t="s">
        <v>144</v>
      </c>
    </row>
    <row r="4" ht="12.75">
      <c r="B4" s="1" t="s">
        <v>145</v>
      </c>
    </row>
  </sheetData>
  <sheetProtection/>
  <printOptions/>
  <pageMargins left="1.0236220472440944" right="0.1968503937007874" top="0.984251968503937" bottom="0.984251968503937" header="0.3937007874015748" footer="0.1968503937007874"/>
  <pageSetup horizontalDpi="300" verticalDpi="300" orientation="portrait" paperSize="9" r:id="rId1"/>
  <headerFooter alignWithMargins="0">
    <oddHeader>&amp;L&amp;D
&amp;F&amp;CPROJEKT-INVEST d.o.o.&amp;R&amp;A</oddHead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Občina Gornja Radgona</cp:lastModifiedBy>
  <cp:lastPrinted>2012-05-05T08:20:51Z</cp:lastPrinted>
  <dcterms:created xsi:type="dcterms:W3CDTF">2000-02-04T22:11:01Z</dcterms:created>
  <dcterms:modified xsi:type="dcterms:W3CDTF">2012-05-10T12:40:17Z</dcterms:modified>
  <cp:category/>
  <cp:version/>
  <cp:contentType/>
  <cp:contentStatus/>
</cp:coreProperties>
</file>